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0" windowWidth="19320" windowHeight="11460"/>
  </bookViews>
  <sheets>
    <sheet name="инвентарь" sheetId="25" r:id="rId1"/>
    <sheet name="итоговая плавание" sheetId="13" state="hidden" r:id="rId2"/>
    <sheet name="общехозяйственные плав" sheetId="12" state="hidden" r:id="rId3"/>
    <sheet name="Коммун услуги плав" sheetId="11" state="hidden" r:id="rId4"/>
    <sheet name="Трен. мер. и мед. обслуж плав" sheetId="9" state="hidden" r:id="rId5"/>
    <sheet name="Нормы МатЗапасов плавание " sheetId="7" state="hidden" r:id="rId6"/>
    <sheet name="БазНорм на ОТ плавание" sheetId="2" state="hidden" r:id="rId7"/>
    <sheet name="БазНорм на ОТ худ. гимнастика" sheetId="4" state="hidden" r:id="rId8"/>
    <sheet name="Нормы МатЗапасов худ. гимна" sheetId="6" state="hidden" r:id="rId9"/>
    <sheet name="Трен. мер. и мед. обслуж худ ги" sheetId="10" state="hidden" r:id="rId10"/>
    <sheet name="Коммун услуги худ.гим" sheetId="14" state="hidden" r:id="rId11"/>
    <sheet name="общехозяйственные худ. гим." sheetId="15" state="hidden" r:id="rId12"/>
    <sheet name="итоговая худ. гим." sheetId="16" state="hidden" r:id="rId13"/>
    <sheet name="пп" sheetId="18" state="hidden" r:id="rId14"/>
    <sheet name="пп (3)" sheetId="21" state="hidden" r:id="rId15"/>
    <sheet name="пп общех" sheetId="19" state="hidden" r:id="rId16"/>
  </sheets>
  <definedNames>
    <definedName name="_xlnm.Print_Area" localSheetId="0">инвентарь!$A$1:$H$228</definedName>
  </definedNames>
  <calcPr calcId="144525"/>
</workbook>
</file>

<file path=xl/calcChain.xml><?xml version="1.0" encoding="utf-8"?>
<calcChain xmlns="http://schemas.openxmlformats.org/spreadsheetml/2006/main">
  <c r="E217" i="25" l="1"/>
  <c r="D217" i="25"/>
  <c r="G217" i="25" l="1"/>
  <c r="F217" i="25"/>
  <c r="G191" i="25"/>
  <c r="F191" i="25"/>
  <c r="G182" i="25"/>
  <c r="F182" i="25"/>
  <c r="G160" i="25"/>
  <c r="F160" i="25"/>
  <c r="F149" i="25"/>
  <c r="G149" i="25"/>
  <c r="G133" i="25"/>
  <c r="F133" i="25"/>
  <c r="G102" i="25"/>
  <c r="F102" i="25"/>
  <c r="G82" i="25"/>
  <c r="F82" i="25"/>
  <c r="G47" i="25"/>
  <c r="F47" i="25"/>
  <c r="G221" i="25" l="1"/>
  <c r="F221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181" i="25"/>
  <c r="H179" i="25"/>
  <c r="H178" i="25"/>
  <c r="H177" i="25"/>
  <c r="H174" i="25"/>
  <c r="H173" i="25"/>
  <c r="H172" i="25"/>
  <c r="H9" i="25" l="1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217" i="25" s="1"/>
  <c r="E191" i="25"/>
  <c r="H190" i="25"/>
  <c r="H189" i="25"/>
  <c r="H188" i="25"/>
  <c r="H187" i="25"/>
  <c r="H186" i="25"/>
  <c r="H185" i="25"/>
  <c r="H184" i="25"/>
  <c r="H191" i="25" s="1"/>
  <c r="H180" i="25"/>
  <c r="H176" i="25"/>
  <c r="H175" i="25"/>
  <c r="H171" i="25"/>
  <c r="H170" i="25"/>
  <c r="H169" i="25"/>
  <c r="H168" i="25"/>
  <c r="H167" i="25"/>
  <c r="H166" i="25"/>
  <c r="H165" i="25"/>
  <c r="H164" i="25"/>
  <c r="H163" i="25"/>
  <c r="H162" i="25"/>
  <c r="H159" i="25"/>
  <c r="H158" i="25"/>
  <c r="H157" i="25"/>
  <c r="H156" i="25"/>
  <c r="H155" i="25"/>
  <c r="H154" i="25"/>
  <c r="H153" i="25"/>
  <c r="H152" i="25"/>
  <c r="H151" i="25"/>
  <c r="H160" i="25" l="1"/>
  <c r="H182" i="25"/>
  <c r="H148" i="25" l="1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1" i="25"/>
  <c r="H104" i="25"/>
  <c r="H149" i="25" l="1"/>
  <c r="H132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47" i="25" l="1"/>
  <c r="H133" i="25"/>
  <c r="H82" i="25"/>
  <c r="H102" i="25"/>
  <c r="H221" i="25" l="1"/>
  <c r="M32" i="7" l="1"/>
  <c r="I7" i="9" l="1"/>
  <c r="H7" i="9"/>
  <c r="G7" i="19" l="1"/>
  <c r="G8" i="19"/>
  <c r="G9" i="19"/>
  <c r="G6" i="19"/>
  <c r="F7" i="19"/>
  <c r="F8" i="19"/>
  <c r="F9" i="19"/>
  <c r="F6" i="19"/>
  <c r="E7" i="19"/>
  <c r="E8" i="19"/>
  <c r="E9" i="19"/>
  <c r="E6" i="19"/>
  <c r="D6" i="19"/>
  <c r="D8" i="19"/>
  <c r="D9" i="19"/>
  <c r="D7" i="19"/>
  <c r="B11" i="21"/>
  <c r="D26" i="11"/>
  <c r="C7" i="19" l="1"/>
  <c r="C8" i="19"/>
  <c r="C9" i="19"/>
  <c r="C6" i="19"/>
  <c r="C7" i="15" l="1"/>
  <c r="C8" i="15"/>
  <c r="C9" i="15"/>
  <c r="C6" i="15"/>
  <c r="B29" i="11"/>
  <c r="D27" i="11"/>
  <c r="B8" i="12" s="1"/>
  <c r="C7" i="12"/>
  <c r="C8" i="12"/>
  <c r="C9" i="12"/>
  <c r="C6" i="12"/>
  <c r="B8" i="14"/>
  <c r="B15" i="21" l="1"/>
  <c r="E11" i="21"/>
  <c r="D11" i="21"/>
  <c r="G19" i="21" l="1"/>
  <c r="F10" i="21"/>
  <c r="F9" i="21"/>
  <c r="F8" i="21"/>
  <c r="C7" i="21"/>
  <c r="F6" i="21"/>
  <c r="F7" i="21" l="1"/>
  <c r="C11" i="21"/>
  <c r="F11" i="21"/>
  <c r="H9" i="19"/>
  <c r="H8" i="19"/>
  <c r="H7" i="19"/>
  <c r="H6" i="19"/>
  <c r="L6" i="19" s="1"/>
  <c r="E5" i="19"/>
  <c r="F5" i="19" s="1"/>
  <c r="G5" i="19" s="1"/>
  <c r="D11" i="18"/>
  <c r="G11" i="21" l="1"/>
  <c r="G20" i="21"/>
  <c r="K6" i="19"/>
  <c r="I6" i="19"/>
  <c r="K8" i="19"/>
  <c r="I8" i="19"/>
  <c r="J8" i="19"/>
  <c r="L8" i="19"/>
  <c r="I9" i="19"/>
  <c r="K9" i="19"/>
  <c r="J6" i="19"/>
  <c r="K7" i="19"/>
  <c r="I7" i="19"/>
  <c r="J7" i="19"/>
  <c r="L7" i="19"/>
  <c r="J9" i="19"/>
  <c r="L9" i="19"/>
  <c r="B11" i="18"/>
  <c r="J10" i="19" l="1"/>
  <c r="I10" i="19"/>
  <c r="L10" i="19"/>
  <c r="K10" i="19"/>
  <c r="E10" i="18" s="1"/>
  <c r="F10" i="18" s="1"/>
  <c r="E9" i="18" l="1"/>
  <c r="F9" i="18" s="1"/>
  <c r="E7" i="18"/>
  <c r="E8" i="18"/>
  <c r="F8" i="18" s="1"/>
  <c r="E6" i="18"/>
  <c r="C7" i="18"/>
  <c r="C11" i="18" s="1"/>
  <c r="F7" i="18" l="1"/>
  <c r="F6" i="18"/>
  <c r="E11" i="18"/>
  <c r="F11" i="18" l="1"/>
  <c r="G9" i="15"/>
  <c r="F9" i="15"/>
  <c r="E9" i="15"/>
  <c r="D9" i="15"/>
  <c r="G8" i="15"/>
  <c r="F8" i="15"/>
  <c r="E8" i="15"/>
  <c r="D8" i="15"/>
  <c r="G7" i="15"/>
  <c r="F7" i="15"/>
  <c r="E7" i="15"/>
  <c r="D7" i="15"/>
  <c r="G6" i="15"/>
  <c r="F6" i="15"/>
  <c r="E6" i="15"/>
  <c r="D6" i="15"/>
  <c r="E5" i="15"/>
  <c r="F5" i="15" s="1"/>
  <c r="G5" i="15" s="1"/>
  <c r="D31" i="14"/>
  <c r="B9" i="15" s="1"/>
  <c r="H9" i="15" s="1"/>
  <c r="B28" i="14"/>
  <c r="D23" i="14"/>
  <c r="B7" i="15" s="1"/>
  <c r="H7" i="15" s="1"/>
  <c r="B30" i="14"/>
  <c r="B29" i="14"/>
  <c r="D25" i="14"/>
  <c r="D26" i="14" s="1"/>
  <c r="B8" i="15" s="1"/>
  <c r="H8" i="15" s="1"/>
  <c r="B22" i="14"/>
  <c r="B21" i="14"/>
  <c r="B20" i="14"/>
  <c r="B19" i="14"/>
  <c r="B18" i="14"/>
  <c r="B17" i="14"/>
  <c r="B16" i="14"/>
  <c r="B15" i="14"/>
  <c r="D13" i="14"/>
  <c r="B6" i="15" s="1"/>
  <c r="B12" i="14"/>
  <c r="B11" i="14"/>
  <c r="B10" i="14"/>
  <c r="B9" i="14"/>
  <c r="K7" i="15" l="1"/>
  <c r="K9" i="15"/>
  <c r="H6" i="15"/>
  <c r="L6" i="15" s="1"/>
  <c r="L8" i="15"/>
  <c r="I8" i="15"/>
  <c r="J9" i="15"/>
  <c r="L9" i="15"/>
  <c r="I9" i="15"/>
  <c r="K8" i="15"/>
  <c r="J7" i="15"/>
  <c r="L7" i="15"/>
  <c r="I7" i="15"/>
  <c r="I6" i="15"/>
  <c r="J6" i="15"/>
  <c r="J8" i="15"/>
  <c r="H8" i="12"/>
  <c r="G7" i="12"/>
  <c r="G8" i="12"/>
  <c r="G9" i="12"/>
  <c r="G6" i="12"/>
  <c r="F7" i="12"/>
  <c r="F8" i="12"/>
  <c r="F9" i="12"/>
  <c r="F6" i="12"/>
  <c r="E7" i="12"/>
  <c r="E8" i="12"/>
  <c r="E9" i="12"/>
  <c r="E6" i="12"/>
  <c r="D7" i="12"/>
  <c r="D8" i="12"/>
  <c r="D9" i="12"/>
  <c r="D6" i="12"/>
  <c r="E5" i="12"/>
  <c r="F5" i="12" s="1"/>
  <c r="G5" i="12" s="1"/>
  <c r="D32" i="11"/>
  <c r="B9" i="12" s="1"/>
  <c r="H9" i="12" s="1"/>
  <c r="B30" i="11"/>
  <c r="B31" i="11"/>
  <c r="B15" i="11"/>
  <c r="B9" i="11"/>
  <c r="B10" i="11"/>
  <c r="B11" i="11"/>
  <c r="B12" i="11"/>
  <c r="B8" i="11"/>
  <c r="D13" i="11"/>
  <c r="B6" i="12" s="1"/>
  <c r="H6" i="12" s="1"/>
  <c r="K9" i="10"/>
  <c r="J9" i="10"/>
  <c r="I9" i="10"/>
  <c r="H9" i="10"/>
  <c r="K8" i="10"/>
  <c r="J8" i="10"/>
  <c r="I8" i="10"/>
  <c r="H8" i="10"/>
  <c r="K7" i="10"/>
  <c r="K10" i="10" s="1"/>
  <c r="D9" i="16" s="1"/>
  <c r="J7" i="10"/>
  <c r="J10" i="10" s="1"/>
  <c r="D8" i="16" s="1"/>
  <c r="I7" i="10"/>
  <c r="I10" i="10" s="1"/>
  <c r="D7" i="16" s="1"/>
  <c r="H7" i="10"/>
  <c r="H10" i="10" s="1"/>
  <c r="D6" i="16" s="1"/>
  <c r="K7" i="9"/>
  <c r="J7" i="9"/>
  <c r="K9" i="9"/>
  <c r="J9" i="9"/>
  <c r="I9" i="9"/>
  <c r="H9" i="9"/>
  <c r="K8" i="9"/>
  <c r="J8" i="9"/>
  <c r="I8" i="9"/>
  <c r="I10" i="9" s="1"/>
  <c r="D7" i="13" s="1"/>
  <c r="H8" i="9"/>
  <c r="H10" i="9" s="1"/>
  <c r="D6" i="13" s="1"/>
  <c r="D12" i="6"/>
  <c r="P12" i="6" s="1"/>
  <c r="Y59" i="6"/>
  <c r="Z58" i="6"/>
  <c r="Y58" i="6"/>
  <c r="Y52" i="6"/>
  <c r="Z51" i="6"/>
  <c r="Y51" i="6"/>
  <c r="Z48" i="6"/>
  <c r="Y48" i="6"/>
  <c r="G14" i="6"/>
  <c r="G13" i="6"/>
  <c r="G12" i="6"/>
  <c r="G10" i="6"/>
  <c r="S10" i="6" s="1"/>
  <c r="S12" i="6"/>
  <c r="S13" i="6"/>
  <c r="S14" i="6"/>
  <c r="G40" i="6"/>
  <c r="S40" i="6" s="1"/>
  <c r="F40" i="6"/>
  <c r="R40" i="6" s="1"/>
  <c r="D40" i="6"/>
  <c r="P40" i="6" s="1"/>
  <c r="G39" i="6"/>
  <c r="S39" i="6" s="1"/>
  <c r="F39" i="6"/>
  <c r="R39" i="6" s="1"/>
  <c r="E39" i="6"/>
  <c r="Q39" i="6" s="1"/>
  <c r="D39" i="6"/>
  <c r="P39" i="6" s="1"/>
  <c r="G38" i="6"/>
  <c r="S38" i="6" s="1"/>
  <c r="F38" i="6"/>
  <c r="R38" i="6" s="1"/>
  <c r="D38" i="6"/>
  <c r="P38" i="6" s="1"/>
  <c r="G37" i="6"/>
  <c r="S37" i="6" s="1"/>
  <c r="F37" i="6"/>
  <c r="R37" i="6" s="1"/>
  <c r="E37" i="6"/>
  <c r="Q37" i="6" s="1"/>
  <c r="D37" i="6"/>
  <c r="P37" i="6" s="1"/>
  <c r="G34" i="6"/>
  <c r="S34" i="6" s="1"/>
  <c r="F34" i="6"/>
  <c r="R34" i="6" s="1"/>
  <c r="D34" i="6"/>
  <c r="P34" i="6" s="1"/>
  <c r="G33" i="6"/>
  <c r="S33" i="6" s="1"/>
  <c r="F33" i="6"/>
  <c r="R33" i="6" s="1"/>
  <c r="E33" i="6"/>
  <c r="Q33" i="6" s="1"/>
  <c r="D33" i="6"/>
  <c r="P33" i="6" s="1"/>
  <c r="G32" i="6"/>
  <c r="S32" i="6" s="1"/>
  <c r="F32" i="6"/>
  <c r="R32" i="6" s="1"/>
  <c r="D32" i="6"/>
  <c r="P32" i="6" s="1"/>
  <c r="G31" i="6"/>
  <c r="S31" i="6" s="1"/>
  <c r="F31" i="6"/>
  <c r="R31" i="6" s="1"/>
  <c r="E31" i="6"/>
  <c r="Q31" i="6" s="1"/>
  <c r="D31" i="6"/>
  <c r="P31" i="6" s="1"/>
  <c r="G30" i="6"/>
  <c r="S30" i="6" s="1"/>
  <c r="F30" i="6"/>
  <c r="R30" i="6" s="1"/>
  <c r="D30" i="6"/>
  <c r="P30" i="6" s="1"/>
  <c r="G29" i="6"/>
  <c r="S29" i="6" s="1"/>
  <c r="F29" i="6"/>
  <c r="R29" i="6" s="1"/>
  <c r="E29" i="6"/>
  <c r="Q29" i="6" s="1"/>
  <c r="D29" i="6"/>
  <c r="P29" i="6" s="1"/>
  <c r="G28" i="6"/>
  <c r="S28" i="6" s="1"/>
  <c r="F28" i="6"/>
  <c r="R28" i="6" s="1"/>
  <c r="D28" i="6"/>
  <c r="P28" i="6" s="1"/>
  <c r="G27" i="6"/>
  <c r="S27" i="6" s="1"/>
  <c r="F27" i="6"/>
  <c r="R27" i="6" s="1"/>
  <c r="E27" i="6"/>
  <c r="Q27" i="6" s="1"/>
  <c r="D27" i="6"/>
  <c r="P27" i="6" s="1"/>
  <c r="G26" i="6"/>
  <c r="S26" i="6" s="1"/>
  <c r="F26" i="6"/>
  <c r="R26" i="6" s="1"/>
  <c r="D26" i="6"/>
  <c r="P26" i="6" s="1"/>
  <c r="G25" i="6"/>
  <c r="S25" i="6" s="1"/>
  <c r="F25" i="6"/>
  <c r="R25" i="6" s="1"/>
  <c r="E25" i="6"/>
  <c r="Q25" i="6" s="1"/>
  <c r="D25" i="6"/>
  <c r="P25" i="6" s="1"/>
  <c r="G24" i="6"/>
  <c r="S24" i="6" s="1"/>
  <c r="F24" i="6"/>
  <c r="R24" i="6" s="1"/>
  <c r="D24" i="6"/>
  <c r="P24" i="6" s="1"/>
  <c r="G23" i="6"/>
  <c r="S23" i="6" s="1"/>
  <c r="F23" i="6"/>
  <c r="R23" i="6" s="1"/>
  <c r="E23" i="6"/>
  <c r="Q23" i="6" s="1"/>
  <c r="D23" i="6"/>
  <c r="P23" i="6" s="1"/>
  <c r="G22" i="6"/>
  <c r="S22" i="6" s="1"/>
  <c r="F22" i="6"/>
  <c r="R22" i="6" s="1"/>
  <c r="D22" i="6"/>
  <c r="P22" i="6" s="1"/>
  <c r="G21" i="6"/>
  <c r="S21" i="6" s="1"/>
  <c r="F21" i="6"/>
  <c r="R21" i="6" s="1"/>
  <c r="E21" i="6"/>
  <c r="Q21" i="6" s="1"/>
  <c r="D21" i="6"/>
  <c r="P21" i="6" s="1"/>
  <c r="G20" i="6"/>
  <c r="S20" i="6" s="1"/>
  <c r="F20" i="6"/>
  <c r="R20" i="6" s="1"/>
  <c r="D20" i="6"/>
  <c r="P20" i="6" s="1"/>
  <c r="G19" i="6"/>
  <c r="S19" i="6" s="1"/>
  <c r="F19" i="6"/>
  <c r="R19" i="6" s="1"/>
  <c r="E19" i="6"/>
  <c r="Q19" i="6" s="1"/>
  <c r="D19" i="6"/>
  <c r="P19" i="6" s="1"/>
  <c r="G18" i="6"/>
  <c r="S18" i="6" s="1"/>
  <c r="F18" i="6"/>
  <c r="R18" i="6" s="1"/>
  <c r="D18" i="6"/>
  <c r="P18" i="6" s="1"/>
  <c r="G17" i="6"/>
  <c r="S17" i="6" s="1"/>
  <c r="F17" i="6"/>
  <c r="R17" i="6" s="1"/>
  <c r="E17" i="6"/>
  <c r="Q17" i="6" s="1"/>
  <c r="D17" i="6"/>
  <c r="P17" i="6" s="1"/>
  <c r="G9" i="6"/>
  <c r="S9" i="6" s="1"/>
  <c r="F9" i="6"/>
  <c r="R9" i="6" s="1"/>
  <c r="E9" i="6"/>
  <c r="Q9" i="6" s="1"/>
  <c r="D9" i="6"/>
  <c r="P9" i="6" s="1"/>
  <c r="F14" i="6"/>
  <c r="R14" i="6" s="1"/>
  <c r="D14" i="6"/>
  <c r="P14" i="6" s="1"/>
  <c r="F13" i="6"/>
  <c r="R13" i="6" s="1"/>
  <c r="D13" i="6"/>
  <c r="P13" i="6" s="1"/>
  <c r="F12" i="6"/>
  <c r="R12" i="6" s="1"/>
  <c r="E12" i="6"/>
  <c r="Q12" i="6" s="1"/>
  <c r="G11" i="6"/>
  <c r="S11" i="6" s="1"/>
  <c r="F11" i="6"/>
  <c r="R11" i="6" s="1"/>
  <c r="D11" i="6"/>
  <c r="P11" i="6" s="1"/>
  <c r="F10" i="6"/>
  <c r="R10" i="6" s="1"/>
  <c r="E10" i="6"/>
  <c r="Q10" i="6" s="1"/>
  <c r="D10" i="6"/>
  <c r="P10" i="6" s="1"/>
  <c r="P41" i="6" l="1"/>
  <c r="R41" i="6"/>
  <c r="K6" i="15"/>
  <c r="K10" i="15" s="1"/>
  <c r="E8" i="16" s="1"/>
  <c r="S41" i="6"/>
  <c r="L9" i="12"/>
  <c r="I10" i="15"/>
  <c r="E6" i="16" s="1"/>
  <c r="J10" i="9"/>
  <c r="D8" i="13" s="1"/>
  <c r="K10" i="9"/>
  <c r="D9" i="13" s="1"/>
  <c r="L10" i="15"/>
  <c r="E9" i="16" s="1"/>
  <c r="L8" i="12"/>
  <c r="L6" i="12"/>
  <c r="J6" i="12"/>
  <c r="I6" i="12"/>
  <c r="K6" i="12"/>
  <c r="J10" i="15"/>
  <c r="E7" i="16" s="1"/>
  <c r="I9" i="12"/>
  <c r="K9" i="12"/>
  <c r="J9" i="12"/>
  <c r="I8" i="12"/>
  <c r="J8" i="12"/>
  <c r="K8" i="12"/>
  <c r="S15" i="6"/>
  <c r="P35" i="6"/>
  <c r="S35" i="6"/>
  <c r="P15" i="6"/>
  <c r="R15" i="6"/>
  <c r="R35" i="6"/>
  <c r="E38" i="6"/>
  <c r="Q38" i="6" s="1"/>
  <c r="E40" i="6"/>
  <c r="Q40" i="6" s="1"/>
  <c r="E18" i="6"/>
  <c r="Q18" i="6" s="1"/>
  <c r="E20" i="6"/>
  <c r="Q20" i="6" s="1"/>
  <c r="E22" i="6"/>
  <c r="Q22" i="6" s="1"/>
  <c r="E24" i="6"/>
  <c r="Q24" i="6" s="1"/>
  <c r="E26" i="6"/>
  <c r="Q26" i="6" s="1"/>
  <c r="E28" i="6"/>
  <c r="Q28" i="6" s="1"/>
  <c r="E30" i="6"/>
  <c r="Q30" i="6" s="1"/>
  <c r="E32" i="6"/>
  <c r="Q32" i="6" s="1"/>
  <c r="E34" i="6"/>
  <c r="Q34" i="6" s="1"/>
  <c r="E14" i="6"/>
  <c r="Q14" i="6" s="1"/>
  <c r="E11" i="6"/>
  <c r="Q11" i="6" s="1"/>
  <c r="E13" i="6"/>
  <c r="Q13" i="6" s="1"/>
  <c r="AB32" i="7"/>
  <c r="Q15" i="6" l="1"/>
  <c r="Q41" i="6"/>
  <c r="Q35" i="6"/>
  <c r="G7" i="4"/>
  <c r="D8" i="4"/>
  <c r="G8" i="4"/>
  <c r="G10" i="4"/>
  <c r="D11" i="4"/>
  <c r="G11" i="4"/>
  <c r="B7" i="16" l="1"/>
  <c r="B6" i="16"/>
  <c r="G6" i="2"/>
  <c r="S33" i="7" l="1"/>
  <c r="R33" i="7"/>
  <c r="Q33" i="7"/>
  <c r="P33" i="7"/>
  <c r="O33" i="7"/>
  <c r="AD33" i="7" s="1"/>
  <c r="N33" i="7"/>
  <c r="AC33" i="7" s="1"/>
  <c r="M33" i="7"/>
  <c r="AB33" i="7" s="1"/>
  <c r="L33" i="7"/>
  <c r="AA33" i="7" s="1"/>
  <c r="S32" i="7"/>
  <c r="R32" i="7"/>
  <c r="O32" i="7"/>
  <c r="AD32" i="7" s="1"/>
  <c r="N32" i="7"/>
  <c r="AC32" i="7" s="1"/>
  <c r="L32" i="7"/>
  <c r="AA32" i="7" s="1"/>
  <c r="S31" i="7"/>
  <c r="R31" i="7"/>
  <c r="N31" i="7" s="1"/>
  <c r="AC31" i="7" s="1"/>
  <c r="Q31" i="7"/>
  <c r="M31" i="7" s="1"/>
  <c r="AB31" i="7" s="1"/>
  <c r="P31" i="7"/>
  <c r="L31" i="7" s="1"/>
  <c r="AA31" i="7" s="1"/>
  <c r="O31" i="7"/>
  <c r="AD31" i="7" s="1"/>
  <c r="S30" i="7"/>
  <c r="R30" i="7"/>
  <c r="N30" i="7" s="1"/>
  <c r="AC30" i="7" s="1"/>
  <c r="Q30" i="7"/>
  <c r="P30" i="7"/>
  <c r="L30" i="7" s="1"/>
  <c r="AA30" i="7" s="1"/>
  <c r="O30" i="7"/>
  <c r="AD30" i="7" s="1"/>
  <c r="M30" i="7"/>
  <c r="AB30" i="7" s="1"/>
  <c r="S29" i="7"/>
  <c r="R29" i="7"/>
  <c r="N29" i="7" s="1"/>
  <c r="AC29" i="7" s="1"/>
  <c r="Q29" i="7"/>
  <c r="M29" i="7" s="1"/>
  <c r="AB29" i="7" s="1"/>
  <c r="P29" i="7"/>
  <c r="O29" i="7"/>
  <c r="AD29" i="7" s="1"/>
  <c r="L29" i="7"/>
  <c r="AA29" i="7" s="1"/>
  <c r="S28" i="7"/>
  <c r="R28" i="7"/>
  <c r="N28" i="7" s="1"/>
  <c r="AC28" i="7" s="1"/>
  <c r="Q28" i="7"/>
  <c r="M28" i="7" s="1"/>
  <c r="AB28" i="7" s="1"/>
  <c r="P28" i="7"/>
  <c r="O28" i="7"/>
  <c r="AD28" i="7" s="1"/>
  <c r="L28" i="7"/>
  <c r="AA28" i="7" s="1"/>
  <c r="S27" i="7"/>
  <c r="R27" i="7"/>
  <c r="Q27" i="7"/>
  <c r="P27" i="7"/>
  <c r="O27" i="7"/>
  <c r="AD27" i="7" s="1"/>
  <c r="N27" i="7"/>
  <c r="AC27" i="7" s="1"/>
  <c r="M27" i="7"/>
  <c r="AB27" i="7" s="1"/>
  <c r="L27" i="7"/>
  <c r="AA27" i="7" s="1"/>
  <c r="S26" i="7"/>
  <c r="R26" i="7"/>
  <c r="N26" i="7" s="1"/>
  <c r="AC26" i="7" s="1"/>
  <c r="O26" i="7"/>
  <c r="AD26" i="7" s="1"/>
  <c r="M26" i="7"/>
  <c r="AB26" i="7" s="1"/>
  <c r="L26" i="7"/>
  <c r="AA26" i="7" s="1"/>
  <c r="S25" i="7"/>
  <c r="O25" i="7" s="1"/>
  <c r="AD25" i="7" s="1"/>
  <c r="R25" i="7"/>
  <c r="Q25" i="7"/>
  <c r="M25" i="7" s="1"/>
  <c r="AB25" i="7" s="1"/>
  <c r="N25" i="7"/>
  <c r="AC25" i="7" s="1"/>
  <c r="L25" i="7"/>
  <c r="AA25" i="7" s="1"/>
  <c r="H20" i="7"/>
  <c r="G20" i="7" s="1"/>
  <c r="S20" i="7" s="1"/>
  <c r="H19" i="7"/>
  <c r="G19" i="7" s="1"/>
  <c r="S19" i="7" s="1"/>
  <c r="H18" i="7"/>
  <c r="G18" i="7" s="1"/>
  <c r="S18" i="7" s="1"/>
  <c r="H17" i="7"/>
  <c r="G17" i="7" s="1"/>
  <c r="S17" i="7" s="1"/>
  <c r="H16" i="7"/>
  <c r="G16" i="7" s="1"/>
  <c r="S16" i="7" s="1"/>
  <c r="H15" i="7"/>
  <c r="G15" i="7" s="1"/>
  <c r="S15" i="7" s="1"/>
  <c r="H14" i="7"/>
  <c r="G14" i="7" s="1"/>
  <c r="S14" i="7" s="1"/>
  <c r="H13" i="7"/>
  <c r="G13" i="7" s="1"/>
  <c r="S13" i="7" s="1"/>
  <c r="H12" i="7"/>
  <c r="G12" i="7" s="1"/>
  <c r="S12" i="7" s="1"/>
  <c r="H11" i="7"/>
  <c r="G11" i="7" s="1"/>
  <c r="S11" i="7" s="1"/>
  <c r="H10" i="7"/>
  <c r="G10" i="7" s="1"/>
  <c r="S10" i="7" s="1"/>
  <c r="H9" i="7"/>
  <c r="G9" i="7" s="1"/>
  <c r="S9" i="7" s="1"/>
  <c r="S62" i="6"/>
  <c r="R62" i="6"/>
  <c r="Q62" i="6"/>
  <c r="P62" i="6"/>
  <c r="O62" i="6"/>
  <c r="AA62" i="6" s="1"/>
  <c r="N62" i="6"/>
  <c r="Z62" i="6" s="1"/>
  <c r="M62" i="6"/>
  <c r="Y62" i="6" s="1"/>
  <c r="L62" i="6"/>
  <c r="X62" i="6" s="1"/>
  <c r="S61" i="6"/>
  <c r="R61" i="6"/>
  <c r="Q61" i="6"/>
  <c r="P61" i="6"/>
  <c r="O61" i="6"/>
  <c r="AA61" i="6" s="1"/>
  <c r="N61" i="6"/>
  <c r="Z61" i="6" s="1"/>
  <c r="M61" i="6"/>
  <c r="Y61" i="6" s="1"/>
  <c r="L61" i="6"/>
  <c r="X61" i="6" s="1"/>
  <c r="S60" i="6"/>
  <c r="R60" i="6"/>
  <c r="Q60" i="6"/>
  <c r="P60" i="6"/>
  <c r="O60" i="6"/>
  <c r="AA60" i="6" s="1"/>
  <c r="N60" i="6"/>
  <c r="Z60" i="6" s="1"/>
  <c r="M60" i="6"/>
  <c r="Y60" i="6" s="1"/>
  <c r="L60" i="6"/>
  <c r="X60" i="6" s="1"/>
  <c r="S59" i="6"/>
  <c r="R59" i="6"/>
  <c r="O59" i="6"/>
  <c r="AA59" i="6" s="1"/>
  <c r="N59" i="6"/>
  <c r="Z59" i="6" s="1"/>
  <c r="L59" i="6"/>
  <c r="X59" i="6" s="1"/>
  <c r="S58" i="6"/>
  <c r="R58" i="6"/>
  <c r="Q58" i="6"/>
  <c r="P58" i="6"/>
  <c r="L58" i="6" s="1"/>
  <c r="X58" i="6" s="1"/>
  <c r="O58" i="6"/>
  <c r="AA58" i="6" s="1"/>
  <c r="S57" i="6"/>
  <c r="R57" i="6"/>
  <c r="Q57" i="6"/>
  <c r="P57" i="6"/>
  <c r="O57" i="6"/>
  <c r="AA57" i="6" s="1"/>
  <c r="N57" i="6"/>
  <c r="Z57" i="6" s="1"/>
  <c r="M57" i="6"/>
  <c r="Y57" i="6" s="1"/>
  <c r="L57" i="6"/>
  <c r="X57" i="6" s="1"/>
  <c r="S56" i="6"/>
  <c r="R56" i="6"/>
  <c r="Q56" i="6"/>
  <c r="P56" i="6"/>
  <c r="O56" i="6"/>
  <c r="AA56" i="6" s="1"/>
  <c r="N56" i="6"/>
  <c r="Z56" i="6" s="1"/>
  <c r="M56" i="6"/>
  <c r="Y56" i="6" s="1"/>
  <c r="L56" i="6"/>
  <c r="X56" i="6" s="1"/>
  <c r="S55" i="6"/>
  <c r="R55" i="6"/>
  <c r="Q55" i="6"/>
  <c r="P55" i="6"/>
  <c r="O55" i="6"/>
  <c r="AA55" i="6" s="1"/>
  <c r="N55" i="6"/>
  <c r="Z55" i="6" s="1"/>
  <c r="M55" i="6"/>
  <c r="Y55" i="6" s="1"/>
  <c r="L55" i="6"/>
  <c r="X55" i="6" s="1"/>
  <c r="S54" i="6"/>
  <c r="R54" i="6"/>
  <c r="Q54" i="6"/>
  <c r="P54" i="6"/>
  <c r="O54" i="6"/>
  <c r="AA54" i="6" s="1"/>
  <c r="N54" i="6"/>
  <c r="Z54" i="6" s="1"/>
  <c r="M54" i="6"/>
  <c r="Y54" i="6" s="1"/>
  <c r="L54" i="6"/>
  <c r="X54" i="6" s="1"/>
  <c r="S53" i="6"/>
  <c r="R53" i="6"/>
  <c r="Q53" i="6"/>
  <c r="P53" i="6"/>
  <c r="O53" i="6"/>
  <c r="AA53" i="6" s="1"/>
  <c r="N53" i="6"/>
  <c r="Z53" i="6" s="1"/>
  <c r="M53" i="6"/>
  <c r="Y53" i="6" s="1"/>
  <c r="L53" i="6"/>
  <c r="X53" i="6" s="1"/>
  <c r="S52" i="6"/>
  <c r="R52" i="6"/>
  <c r="O52" i="6"/>
  <c r="AA52" i="6" s="1"/>
  <c r="N52" i="6"/>
  <c r="Z52" i="6" s="1"/>
  <c r="L52" i="6"/>
  <c r="X52" i="6" s="1"/>
  <c r="S51" i="6"/>
  <c r="R51" i="6"/>
  <c r="Q51" i="6"/>
  <c r="P51" i="6"/>
  <c r="O51" i="6"/>
  <c r="AA51" i="6" s="1"/>
  <c r="L51" i="6"/>
  <c r="X51" i="6" s="1"/>
  <c r="S50" i="6"/>
  <c r="R50" i="6"/>
  <c r="Q50" i="6"/>
  <c r="P50" i="6"/>
  <c r="O50" i="6"/>
  <c r="AA50" i="6" s="1"/>
  <c r="N50" i="6"/>
  <c r="Z50" i="6" s="1"/>
  <c r="M50" i="6"/>
  <c r="Y50" i="6" s="1"/>
  <c r="L50" i="6"/>
  <c r="X50" i="6" s="1"/>
  <c r="S49" i="6"/>
  <c r="R49" i="6"/>
  <c r="Q49" i="6"/>
  <c r="P49" i="6"/>
  <c r="O49" i="6"/>
  <c r="AA49" i="6" s="1"/>
  <c r="N49" i="6"/>
  <c r="Z49" i="6" s="1"/>
  <c r="M49" i="6"/>
  <c r="Y49" i="6" s="1"/>
  <c r="L49" i="6"/>
  <c r="X49" i="6" s="1"/>
  <c r="S48" i="6"/>
  <c r="R48" i="6"/>
  <c r="Q48" i="6"/>
  <c r="P48" i="6"/>
  <c r="L48" i="6" s="1"/>
  <c r="X48" i="6" s="1"/>
  <c r="O48" i="6"/>
  <c r="AA48" i="6" s="1"/>
  <c r="S47" i="6"/>
  <c r="R47" i="6"/>
  <c r="Q47" i="6"/>
  <c r="P47" i="6"/>
  <c r="O47" i="6"/>
  <c r="AA47" i="6" s="1"/>
  <c r="N47" i="6"/>
  <c r="Z47" i="6" s="1"/>
  <c r="M47" i="6"/>
  <c r="Y47" i="6" s="1"/>
  <c r="L47" i="6"/>
  <c r="X47" i="6" s="1"/>
  <c r="S46" i="6"/>
  <c r="R46" i="6"/>
  <c r="O46" i="6"/>
  <c r="AA46" i="6" s="1"/>
  <c r="N46" i="6"/>
  <c r="Z46" i="6" s="1"/>
  <c r="M46" i="6"/>
  <c r="Y46" i="6" s="1"/>
  <c r="L46" i="6"/>
  <c r="X46" i="6" s="1"/>
  <c r="S45" i="6"/>
  <c r="O45" i="6" s="1"/>
  <c r="AA45" i="6" s="1"/>
  <c r="R45" i="6"/>
  <c r="Q45" i="6"/>
  <c r="M45" i="6" s="1"/>
  <c r="Y45" i="6" s="1"/>
  <c r="N45" i="6"/>
  <c r="Z45" i="6" s="1"/>
  <c r="L45" i="6"/>
  <c r="X45" i="6" s="1"/>
  <c r="Y63" i="6" l="1"/>
  <c r="C7" i="16" s="1"/>
  <c r="F7" i="16" s="1"/>
  <c r="AA63" i="6"/>
  <c r="C9" i="16" s="1"/>
  <c r="D9" i="7"/>
  <c r="P9" i="7" s="1"/>
  <c r="S21" i="7"/>
  <c r="D13" i="7"/>
  <c r="P13" i="7" s="1"/>
  <c r="F9" i="7"/>
  <c r="R9" i="7" s="1"/>
  <c r="E13" i="7"/>
  <c r="Q13" i="7" s="1"/>
  <c r="D14" i="7"/>
  <c r="P14" i="7" s="1"/>
  <c r="D15" i="7"/>
  <c r="P15" i="7" s="1"/>
  <c r="D19" i="7"/>
  <c r="P19" i="7" s="1"/>
  <c r="X63" i="6"/>
  <c r="C6" i="16" s="1"/>
  <c r="F6" i="16" s="1"/>
  <c r="Z63" i="6"/>
  <c r="C8" i="16" s="1"/>
  <c r="E9" i="7"/>
  <c r="Q9" i="7" s="1"/>
  <c r="D10" i="7"/>
  <c r="P10" i="7" s="1"/>
  <c r="E15" i="7"/>
  <c r="Q15" i="7" s="1"/>
  <c r="D16" i="7"/>
  <c r="P16" i="7" s="1"/>
  <c r="D17" i="7"/>
  <c r="P17" i="7" s="1"/>
  <c r="F19" i="7"/>
  <c r="R19" i="7" s="1"/>
  <c r="D20" i="7"/>
  <c r="P20" i="7" s="1"/>
  <c r="AA34" i="7"/>
  <c r="AB34" i="7"/>
  <c r="AD34" i="7"/>
  <c r="C9" i="13" s="1"/>
  <c r="AC34" i="7"/>
  <c r="E12" i="7"/>
  <c r="Q12" i="7" s="1"/>
  <c r="F14" i="7"/>
  <c r="R14" i="7" s="1"/>
  <c r="E17" i="7"/>
  <c r="Q17" i="7" s="1"/>
  <c r="D18" i="7"/>
  <c r="P18" i="7" s="1"/>
  <c r="D12" i="7"/>
  <c r="P12" i="7" s="1"/>
  <c r="F12" i="7"/>
  <c r="R12" i="7" s="1"/>
  <c r="F13" i="7"/>
  <c r="R13" i="7" s="1"/>
  <c r="F17" i="7"/>
  <c r="R17" i="7" s="1"/>
  <c r="F10" i="7"/>
  <c r="R10" i="7" s="1"/>
  <c r="D11" i="7"/>
  <c r="P11" i="7" s="1"/>
  <c r="E16" i="7"/>
  <c r="Q16" i="7" s="1"/>
  <c r="E20" i="7"/>
  <c r="Q20" i="7" s="1"/>
  <c r="E19" i="7"/>
  <c r="Q19" i="7" s="1"/>
  <c r="F20" i="7"/>
  <c r="R20" i="7" s="1"/>
  <c r="E11" i="7"/>
  <c r="Q11" i="7" s="1"/>
  <c r="E10" i="7"/>
  <c r="Q10" i="7" s="1"/>
  <c r="F11" i="7"/>
  <c r="R11" i="7" s="1"/>
  <c r="E14" i="7"/>
  <c r="Q14" i="7" s="1"/>
  <c r="F15" i="7"/>
  <c r="R15" i="7" s="1"/>
  <c r="F16" i="7"/>
  <c r="R16" i="7" s="1"/>
  <c r="F18" i="7"/>
  <c r="R18" i="7" s="1"/>
  <c r="E18" i="7"/>
  <c r="Q18" i="7" s="1"/>
  <c r="R21" i="7" l="1"/>
  <c r="C8" i="13" s="1"/>
  <c r="P21" i="7"/>
  <c r="C6" i="13" s="1"/>
  <c r="Q21" i="7"/>
  <c r="C7" i="13" s="1"/>
  <c r="G17" i="4"/>
  <c r="D17" i="4"/>
  <c r="B16" i="4"/>
  <c r="G16" i="4" s="1"/>
  <c r="B9" i="16" s="1"/>
  <c r="G14" i="4"/>
  <c r="D14" i="4"/>
  <c r="G13" i="4"/>
  <c r="B8" i="16" s="1"/>
  <c r="F8" i="16" l="1"/>
  <c r="F9" i="16"/>
  <c r="G16" i="2"/>
  <c r="G13" i="2"/>
  <c r="G10" i="2"/>
  <c r="G7" i="2"/>
  <c r="B6" i="13" s="1"/>
  <c r="D16" i="2"/>
  <c r="D13" i="2"/>
  <c r="D10" i="2"/>
  <c r="D7" i="2"/>
  <c r="G9" i="2"/>
  <c r="B7" i="13" s="1"/>
  <c r="B15" i="2" l="1"/>
  <c r="G15" i="2" l="1"/>
  <c r="B9" i="13" s="1"/>
  <c r="G12" i="2"/>
  <c r="B8" i="13" s="1"/>
  <c r="D24" i="11"/>
  <c r="B7" i="12" s="1"/>
  <c r="H7" i="12" s="1"/>
  <c r="B16" i="11"/>
  <c r="B19" i="11"/>
  <c r="B21" i="11"/>
  <c r="B23" i="11"/>
  <c r="B20" i="11"/>
  <c r="B22" i="11"/>
  <c r="B18" i="11"/>
  <c r="B17" i="11"/>
  <c r="L7" i="12" l="1"/>
  <c r="L10" i="12" s="1"/>
  <c r="E9" i="13" s="1"/>
  <c r="F9" i="13" s="1"/>
  <c r="I7" i="12"/>
  <c r="I10" i="12" s="1"/>
  <c r="E6" i="13" s="1"/>
  <c r="F6" i="13" s="1"/>
  <c r="J7" i="12"/>
  <c r="J10" i="12" s="1"/>
  <c r="E7" i="13" s="1"/>
  <c r="F7" i="13" s="1"/>
  <c r="K7" i="12"/>
  <c r="K10" i="12" s="1"/>
  <c r="E8" i="13" s="1"/>
  <c r="F8" i="13" s="1"/>
</calcChain>
</file>

<file path=xl/comments1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прил 9 стандартов</t>
        </r>
      </text>
    </comment>
  </commentList>
</comments>
</file>

<file path=xl/comments2.xml><?xml version="1.0" encoding="utf-8"?>
<comments xmlns="http://schemas.openxmlformats.org/spreadsheetml/2006/main">
  <authors>
    <author>Ekonom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29912,80-из плана комплектации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прил 9 стандартов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<sst xmlns="http://schemas.openxmlformats.org/spreadsheetml/2006/main" count="1159" uniqueCount="467">
  <si>
    <t>Наименование ресурса</t>
  </si>
  <si>
    <t>Норма</t>
  </si>
  <si>
    <t>Нормативное количество ресурса</t>
  </si>
  <si>
    <t>Нормативное количество услуг</t>
  </si>
  <si>
    <t>Примечание</t>
  </si>
  <si>
    <t>Цена ресурса, руб.</t>
  </si>
  <si>
    <t>Базовые нормативные затраты</t>
  </si>
  <si>
    <t>2=3/4</t>
  </si>
  <si>
    <t>7=2*6</t>
  </si>
  <si>
    <t>1. Оплата труда работников, непосредственно связанных с оказанием муниципальной услуги (этап начальной подготовки)</t>
  </si>
  <si>
    <t>Тренер</t>
  </si>
  <si>
    <t>Инструктор-методист</t>
  </si>
  <si>
    <t>2. Оплата труда работников, непосредственно связанных с оказанием муниципальной услуги (тренировочный этап (этап спортивной специализации))</t>
  </si>
  <si>
    <t>3. Оплата труда работников, непосредственно связанных с оказанием муниципальной услуги (этап совершенствования спортивного мастерства)</t>
  </si>
  <si>
    <t>Наименование</t>
  </si>
  <si>
    <t>Единица измерения</t>
  </si>
  <si>
    <t>Количество изделий</t>
  </si>
  <si>
    <t>Норма, этап НП</t>
  </si>
  <si>
    <t>Норма, этап СС</t>
  </si>
  <si>
    <t>Норма, этап ССМ</t>
  </si>
  <si>
    <t>Норма, этап ВСМ</t>
  </si>
  <si>
    <t>Нормативное количество ресурса, все этапы спортивной подготовки</t>
  </si>
  <si>
    <t>Нормативное количество услуг, этап НП</t>
  </si>
  <si>
    <t>Нормативное количество услуг, этап СС</t>
  </si>
  <si>
    <t>Нормативное количество услуг, этап ССМ</t>
  </si>
  <si>
    <t>Нормативное количество услуг, этап ВСМ</t>
  </si>
  <si>
    <t>комплект</t>
  </si>
  <si>
    <t>Количество из расчета на группу спортсменов этапа наполняемостью человек в соответствии с ФССП</t>
  </si>
  <si>
    <t>штук</t>
  </si>
  <si>
    <t>Свисток</t>
  </si>
  <si>
    <t>Секундомер</t>
  </si>
  <si>
    <t>Дополнительное и вспомогательное оборудование и спортивный инвентарь</t>
  </si>
  <si>
    <t>Мяч волейбольный</t>
  </si>
  <si>
    <t>Наименование спортивной экипировки индивидуального пользования</t>
  </si>
  <si>
    <t>Расчетная единица</t>
  </si>
  <si>
    <t>Нормативное количество услуг, для всех этапов в расчет на 1 спортсмена</t>
  </si>
  <si>
    <t>2=6/10</t>
  </si>
  <si>
    <t>3=7/10</t>
  </si>
  <si>
    <t>4=8/10</t>
  </si>
  <si>
    <t>5=9/10</t>
  </si>
  <si>
    <t>на занимающегося</t>
  </si>
  <si>
    <t>-</t>
  </si>
  <si>
    <t>пар</t>
  </si>
  <si>
    <t>Костюм ветрозащитный</t>
  </si>
  <si>
    <t>Костюм спортивный парадный</t>
  </si>
  <si>
    <t>Носки</t>
  </si>
  <si>
    <t>Полотенце</t>
  </si>
  <si>
    <t>Шорты спортивные (трусы спортивные)</t>
  </si>
  <si>
    <t>Количество из расчета на 1 спортсмена в соответствии с ФССП</t>
  </si>
  <si>
    <t>Срок использования ресурса (лет)</t>
  </si>
  <si>
    <t>Цена единицы ресурса, руб.</t>
  </si>
  <si>
    <t>Базовые нормативные затраты, этап НП</t>
  </si>
  <si>
    <t>Базовые нормативные затраты, этап СС</t>
  </si>
  <si>
    <t>Базовые нормативные затраты, этап ССМ</t>
  </si>
  <si>
    <t>Базовые нормативные затраты, этап ВСМ</t>
  </si>
  <si>
    <t>8=2*7/6</t>
  </si>
  <si>
    <t>9=3*7/6</t>
  </si>
  <si>
    <t>10=4*7/6</t>
  </si>
  <si>
    <t>11=5*7/6</t>
  </si>
  <si>
    <t>Расчет нормативных затрат на оплату труда работников, непосредственно связанных с оказанием услуги - спортивная подготовка по олимпийским видам спорта (плавание)</t>
  </si>
  <si>
    <t>1 тренер на группу спортсменов при наполняемости группы 15 человек в соответствии  с ФССП по виду спорта "плавание"</t>
  </si>
  <si>
    <t>1 тренер на группу спортсменов при наполняемости группы 11 человек в соответствии  с ФССП по виду спорта "плавание"</t>
  </si>
  <si>
    <t>1 тренер на группу спортсменов при наполняемости группы 7 человек в соответствии  с ФССП по виду спорта "плавание"</t>
  </si>
  <si>
    <t>1 тренер на группу спортсменов при наполняемости группы 4 человека в соответствии  с ФССП по виду спорта "плавание"</t>
  </si>
  <si>
    <t>Расчет нормативных затрат на оплату труда работников, непосредственно связанных с оказанием услуги - спортивная подготовка по олимпийским видам художественная гимнастика</t>
  </si>
  <si>
    <t>1 тренер на группу спортсменов при наполняемости группы 18 человек в соответствии  с ФССП по виду спорта "художественная гимнастика"</t>
  </si>
  <si>
    <t>1 тренер на группу спортсменов при наполняемости группы 12 человек в соответствии  с ФССП по виду спорта "художественная гимнастика"</t>
  </si>
  <si>
    <t>1 тренер на группу спортсменов при наполняемости группы 5 человек в соответствии  с ФССП по виду спорта "художественная гимнастика"</t>
  </si>
  <si>
    <t>1 тренер на группу спортсменов при наполняемости группы 3 человека в соответствии  с ФССП по виду спорта "художественная гимнастика"</t>
  </si>
  <si>
    <t>Расчет базовых нормативных затрат на приобретение материальных запасов и основных средств, потребляемых в процессе оказания муниципальной услуги по спортивной подготовке  по  плаванию</t>
  </si>
  <si>
    <t>Весы медицинские</t>
  </si>
  <si>
    <t>Доска для плавания</t>
  </si>
  <si>
    <t>Доска информационная</t>
  </si>
  <si>
    <t>Колокольчик судейский</t>
  </si>
  <si>
    <t>Лопатки для плавания</t>
  </si>
  <si>
    <t>Мяч ватерпольный</t>
  </si>
  <si>
    <t>Поплавки-вставки для ног</t>
  </si>
  <si>
    <t>Пояс с пластиной для увеличения нагрузки воды</t>
  </si>
  <si>
    <t>Скамейки гимнастические</t>
  </si>
  <si>
    <t>Термометр для воды</t>
  </si>
  <si>
    <t>Беруши</t>
  </si>
  <si>
    <t>Костюм (комбинезон) для плавания</t>
  </si>
  <si>
    <t>Купальник (женский)</t>
  </si>
  <si>
    <t>Обувь для бассейна (шлепанцы)</t>
  </si>
  <si>
    <t>Очки  для плавания</t>
  </si>
  <si>
    <t>Плавки (мужские)</t>
  </si>
  <si>
    <t>Халат</t>
  </si>
  <si>
    <t>Шапочка для плавания</t>
  </si>
  <si>
    <t>Основное оборудование и инвентарь</t>
  </si>
  <si>
    <t>Ковер гимнастический (13х13м)</t>
  </si>
  <si>
    <t>Булава гимнастическая</t>
  </si>
  <si>
    <t>штук (пар)</t>
  </si>
  <si>
    <t>Ленты для художественной гимнастики (разных цветов)</t>
  </si>
  <si>
    <t>Мяч  для художественной гимнастики</t>
  </si>
  <si>
    <t>Обруч  гимнастический</t>
  </si>
  <si>
    <t>Скакалка гимнастическая</t>
  </si>
  <si>
    <t>Гантели массивные от 0,5 до 5 кг</t>
  </si>
  <si>
    <t>Зеркало 12х2м</t>
  </si>
  <si>
    <t>Игла для накачивания спортивных мячей</t>
  </si>
  <si>
    <t>Канат для лазанья</t>
  </si>
  <si>
    <t xml:space="preserve">Мат  гимнастический </t>
  </si>
  <si>
    <t>Медицинбол от 1 до 5 кг</t>
  </si>
  <si>
    <t>Насос универсальный</t>
  </si>
  <si>
    <t>Палка гимнастическая</t>
  </si>
  <si>
    <t>Пианино</t>
  </si>
  <si>
    <t>Пылесос бытовой</t>
  </si>
  <si>
    <t>Станок хореографический</t>
  </si>
  <si>
    <t>Скамейка  гимнастическая</t>
  </si>
  <si>
    <t>Стенка гимнастическая</t>
  </si>
  <si>
    <t>Тренажер для отработки доскоков</t>
  </si>
  <si>
    <t>Тренажер универсальный малогабаритный</t>
  </si>
  <si>
    <t>Тренажер  для развития мышц рук, ног, спины</t>
  </si>
  <si>
    <t>Магнитофон или музыкальный диск ( на одного тренера)</t>
  </si>
  <si>
    <t>Контрольно-измерительные и информационные средства</t>
  </si>
  <si>
    <t>Видеокамера</t>
  </si>
  <si>
    <t>Видиотехника для записи и просмотра изображения</t>
  </si>
  <si>
    <t>Рулетка 20 м металлическая</t>
  </si>
  <si>
    <t>Кроссовки для зала</t>
  </si>
  <si>
    <t>Кроссовки для улицы</t>
  </si>
  <si>
    <t>Тапки для зала</t>
  </si>
  <si>
    <t>Полутапочки (получешки)</t>
  </si>
  <si>
    <t>Кепка солнцезащитная</t>
  </si>
  <si>
    <t>Костюм спортивный тренировочный</t>
  </si>
  <si>
    <t>Футболка (майка-полурукавка)</t>
  </si>
  <si>
    <t>Носки утепленные</t>
  </si>
  <si>
    <t>Купальник для выступлений</t>
  </si>
  <si>
    <t>Мяч для художественной гимнастики</t>
  </si>
  <si>
    <t>4=8/9</t>
  </si>
  <si>
    <t>5=8/10</t>
  </si>
  <si>
    <t>6=8/11</t>
  </si>
  <si>
    <t>7=8/12</t>
  </si>
  <si>
    <t>Приложение</t>
  </si>
  <si>
    <t>количество на этапе начальной подготовки</t>
  </si>
  <si>
    <t>срок эксплуатации (месяцев) на этапе начальной подготовки</t>
  </si>
  <si>
    <t>количество на тренировочном этапе (этап спортивной специализации)</t>
  </si>
  <si>
    <t>срок эксплуатации (месяцев) на тренировочном  этапе (этап спортивной специализации)</t>
  </si>
  <si>
    <t>количество на этапе совершенствования спортивного мастерства</t>
  </si>
  <si>
    <t>срок эксплуатации (месяцев) на этапе совершенствования спортивного мастерства</t>
  </si>
  <si>
    <t>количество на этапе высшего спортивного мастерства</t>
  </si>
  <si>
    <t>срок эксплуатации (месяцев) на этапе высшего спортивного мастерства</t>
  </si>
  <si>
    <t xml:space="preserve">Обеспечение спортивной экипировкой по плаванию, согласно  Федеральным стандартам </t>
  </si>
  <si>
    <t>из расчета 32 987,29 руб./мес. (средняя зарплата данной категории работников)*12 мес*1,302= 515 393,42</t>
  </si>
  <si>
    <t>из расчета 34 474,24 руб./мес. (средняя зарплата данной категории работников)*12 мес*1,302= 538 625,53</t>
  </si>
  <si>
    <t>из расчета 34 766,55 руб./мес. (средняя зарплата данной категории работников)*12 мес*1,302= 543 192,58</t>
  </si>
  <si>
    <t>из расчета 29 912,80 руб./мес. (средняя зарплата данной категории работников)*12 мес*1,302= 467 357,59</t>
  </si>
  <si>
    <t>4. Оплата труда работников, непосредственно связанных с оказанием муниципальной услуги (этап высшего спортивного мастерства)</t>
  </si>
  <si>
    <t>Итого</t>
  </si>
  <si>
    <t>Спортивная экипировка, передаваемая в индивидуальное пользование</t>
  </si>
  <si>
    <t>ИТОГО</t>
  </si>
  <si>
    <t>Обеспечение спортивной экипировкой</t>
  </si>
  <si>
    <t xml:space="preserve">Расчет иных нормативных затрат на оказание услуги по спортивной подготовке, согласно  Федеральным стандартам </t>
  </si>
  <si>
    <t>Определение норм  на иные затраты, непосредственно связанные с оказанием услуги  по спортивной подготовке  по  плаванию</t>
  </si>
  <si>
    <t>Транспортные услуги для выезда на сборы</t>
  </si>
  <si>
    <t>Медицинское обслуживание</t>
  </si>
  <si>
    <t>Проживание на УТС</t>
  </si>
  <si>
    <t>Расчет исходя из средней стоимости проезда на сборы и обратно для региона</t>
  </si>
  <si>
    <t>Расчет исходя из установленной нормы расходов на 1 человеко-дня на УТС</t>
  </si>
  <si>
    <t>Расчет исходя из количества дней УТС спортсменов, на 1 спортсмена</t>
  </si>
  <si>
    <t xml:space="preserve">Объем </t>
  </si>
  <si>
    <t>Тариф</t>
  </si>
  <si>
    <t>Плановые затраты</t>
  </si>
  <si>
    <t>Комментарий</t>
  </si>
  <si>
    <t>1.Коммунальные услуги</t>
  </si>
  <si>
    <t>Электроснабжение</t>
  </si>
  <si>
    <t>Теплоснабжение</t>
  </si>
  <si>
    <t>Теплоносителя</t>
  </si>
  <si>
    <t>Холодное водоснабжение</t>
  </si>
  <si>
    <t>Водоотведение</t>
  </si>
  <si>
    <t>ИТОГО гр.1</t>
  </si>
  <si>
    <t>х</t>
  </si>
  <si>
    <t>2. Содержание объектов недвижимого имущества, эксплуатируемого в прцессе оказания муниципальной услуги</t>
  </si>
  <si>
    <t>Вывоз твердых бытовых отходов</t>
  </si>
  <si>
    <t>Дезинфекция, дератизация</t>
  </si>
  <si>
    <t>Техническое обслуцживание тепловых пунктов</t>
  </si>
  <si>
    <t>Сервисное обслуживание узлов учета тепловой энергии</t>
  </si>
  <si>
    <t>ИТОГО гр.2</t>
  </si>
  <si>
    <t>Техническое обслуживание линий телефоной связи</t>
  </si>
  <si>
    <t>Проведение санитарно-бактериологических исследований</t>
  </si>
  <si>
    <t>Техническое обслуживание тревожная кнопка, услуги вневедомственнй охраны</t>
  </si>
  <si>
    <t>Техническое обслуживание охранной сигнализации</t>
  </si>
  <si>
    <t>Техническое обслуживание охранной  пожарной сигнализации</t>
  </si>
  <si>
    <t>3. Оплата труда административно-управленческого, административно-хозяйственного, вспомогательного и иного персонала</t>
  </si>
  <si>
    <t>Оплата труда административно-управленческого, административно-хозяйственного, вспомогательного и иного персонала</t>
  </si>
  <si>
    <t>40% от затрат на оплату  труда основного персонала</t>
  </si>
  <si>
    <t>Определение плановых затрат на коммунальные услуги для  оказания услуг  по спортивной подготовке  по  плаванию</t>
  </si>
  <si>
    <t>28% от затрат на теплоснабжение</t>
  </si>
  <si>
    <t>28% от затрат на теплоносителя</t>
  </si>
  <si>
    <t>28% от затрат на электроснабжения</t>
  </si>
  <si>
    <t>28% от затрат на холодное водоснабжение</t>
  </si>
  <si>
    <t>28% от затрат на водоотведение</t>
  </si>
  <si>
    <t>ИТОГО гр.3</t>
  </si>
  <si>
    <t>4. Прочие ресурсы (затраты)</t>
  </si>
  <si>
    <t>Канцелярские товары</t>
  </si>
  <si>
    <t>Хозяйственные товары</t>
  </si>
  <si>
    <t>Химические реактивы</t>
  </si>
  <si>
    <t>Расчет нормативных затрат на общехозяйственные нужды</t>
  </si>
  <si>
    <t>Общее полезное время использования имущественного комплекса</t>
  </si>
  <si>
    <t>Норма времени использования имущественного комплекса на оказание муниципальной услуги  этап НП</t>
  </si>
  <si>
    <t>Норма времени использования имущественного комплекса на оказание муниципальной услуги  этап СС</t>
  </si>
  <si>
    <t>Норма времени использования имущественного комплекса на оказание муниципальной услуги этап ССМ</t>
  </si>
  <si>
    <t>Норма времени использования имущественного комплекса на оказание муниципальной услуги этап ВСМ</t>
  </si>
  <si>
    <t>Стоимость единицы времени использования (аренды) имущественного комплекса</t>
  </si>
  <si>
    <t>Базовые нормативные затраты на общехозяйственные нужды, этап НП</t>
  </si>
  <si>
    <t>Базовые нормативные затраты на общехозяйственные нужды, этап СС</t>
  </si>
  <si>
    <t>Базовые нормативные затраты на общехозяйственные нужды, этап ССМ</t>
  </si>
  <si>
    <t>Базовые нормативные затраты на общехозяйственные нужды, этап ВСМ</t>
  </si>
  <si>
    <t xml:space="preserve">Коммунальные услуги </t>
  </si>
  <si>
    <t xml:space="preserve"> Содержание объектов недвижимого имущества, эксплуатируемого в прцессе оказания муниципальной услуги</t>
  </si>
  <si>
    <t>Прочие ресурсы (затраты)</t>
  </si>
  <si>
    <t>Х</t>
  </si>
  <si>
    <t>8=2/3/48 чел</t>
  </si>
  <si>
    <t>9=4*8</t>
  </si>
  <si>
    <t>10=5*8</t>
  </si>
  <si>
    <t>11=6*8</t>
  </si>
  <si>
    <t>12=7*8</t>
  </si>
  <si>
    <t>Общее полезное время использования имущественного комплекса 4335 часов в год из режима работы  289 дней в году по  15 часов в день при максимальной наполняемости 48 человек</t>
  </si>
  <si>
    <t>Наименование государственной (муниципальной) услуги</t>
  </si>
  <si>
    <t>Базовые нормативные затраты, непосредственно связанные с оказанием государственной (муниципальной) услуги</t>
  </si>
  <si>
    <t>Базовые нормативные затраты на общехозяйственные нужды</t>
  </si>
  <si>
    <t>Базовые нормативные затраты на оказание услуги</t>
  </si>
  <si>
    <t>ФОТ</t>
  </si>
  <si>
    <t>Экипировка и оборудование</t>
  </si>
  <si>
    <t>Спортивная работа</t>
  </si>
  <si>
    <t>1</t>
  </si>
  <si>
    <t>4</t>
  </si>
  <si>
    <t>5</t>
  </si>
  <si>
    <t>Затраты на спортивную работу по подготовке 1 спортсмена в год</t>
  </si>
  <si>
    <t>Базовые нормативные затраты на оказание услуги по спортивной подготовки по виду спорта "плавание"</t>
  </si>
  <si>
    <t>Спортивная подготовка по виду спорта плавание этап начальной подготовки</t>
  </si>
  <si>
    <t>Спортивная подготовка по виду спорта плавание тренировочный этап (спортивной специализации)</t>
  </si>
  <si>
    <t>Спортивная подготовка по виду спорта плавание этап совершенствования спортивного мастерства</t>
  </si>
  <si>
    <t>Спортивная подготовка по виду спорта плавание этап высшего спортивного мастерства</t>
  </si>
  <si>
    <t>Определение плановых затрат на коммунальные услуги для  оказания услуг  по спортивной подготовке  по  художественной гимнастике</t>
  </si>
  <si>
    <t>3% от затрат на электроснабжения</t>
  </si>
  <si>
    <t>3% от затрат на теплоносителя</t>
  </si>
  <si>
    <t>3% от затрат на теплоснабжение</t>
  </si>
  <si>
    <t>3% от затрат на холодное водоснабжение</t>
  </si>
  <si>
    <t>3% от затрат на водоотведение</t>
  </si>
  <si>
    <t>Услуги спортивного зала</t>
  </si>
  <si>
    <t>Общее полезное время использования имущественного комплекса 4470 часов в год из режима работы 298 дней в году по  15 часов в день при максимальной наполняемости 25 человек</t>
  </si>
  <si>
    <t>8=2/3/25 чел</t>
  </si>
  <si>
    <t>Базовые нормативные затраты на оказание услуги по спортивной подготовки по виду спорта "художественная гимнастика"</t>
  </si>
  <si>
    <t>Спортивная подготовка по виду спорта художественная гимнастика этап начальной подготовки</t>
  </si>
  <si>
    <t>Спортивная подготовка по виду спорта художественная гимнастика тренировочный этап (спортивной специализации)</t>
  </si>
  <si>
    <t>Спортивная подготовка по виду спорта художественная гимнастика этап совершенствования спортивного мастерства</t>
  </si>
  <si>
    <t>Спортивная подготовка по виду спорта художественная гимнастика этап высшего спортивного мастерства</t>
  </si>
  <si>
    <t>6=2+3+4+5</t>
  </si>
  <si>
    <t>ИТОГО гр.4</t>
  </si>
  <si>
    <t xml:space="preserve">Оборудование и спортивный инвентарь, необходимый для прохождения  спортивной подготовки по  художественной гимнастике, согласно  Федеральным стандартам </t>
  </si>
  <si>
    <t>Определение норм  на иные затраты, непосредственно связанные с оказанием услуги  по спортивной подготовке  по  художественной гимнастике</t>
  </si>
  <si>
    <t>Базовые нормативные затраты на оказание услуги -реализация дополнительных предпрофессиональных программ в области физической культуры и спорта</t>
  </si>
  <si>
    <t>реализация дополнительных предпрофессиональных программ в области физической культуры и спорта по виду спорта плавание  этап начальной подготовки</t>
  </si>
  <si>
    <t>реализация дополнительных предпрофессиональных программ в области физической культуры и спорта по виду спорта  плавание тренировочный этап (спортивной специализации)</t>
  </si>
  <si>
    <t>реализация дополнительных предпрофессиональных программ в области физической культуры и спорта по виду спорта  художественная гимнастика тренировочный этап (спортивной специализации)</t>
  </si>
  <si>
    <t>реализация дополнительных предпрофессиональных программ в области физической культуры и спорта по виду спорта  художественная гимнастика этап совершенствования спортивного мастерства</t>
  </si>
  <si>
    <t>реализация дополнительных предпрофессиональных программ в области физической культуры и спорта по виду спорта  художественная гимнастика этап начальной подготовки</t>
  </si>
  <si>
    <t xml:space="preserve">реализация дополнительных предпрофессиональных программ в области физической культуры и спорта </t>
  </si>
  <si>
    <t>Базовые нормативные затраты на оказание услуги на  1  обучающегося/занимающегося в год</t>
  </si>
  <si>
    <t>Базовые нормативные затраты на оказание услуги на  1  человека-час  в год</t>
  </si>
  <si>
    <t xml:space="preserve">из расчета 1 инструктор-методист на 6 тренеров в соответствии с Методическими рекомендациями по организации спортивной подготовки в РФ </t>
  </si>
  <si>
    <t>Содержание объектов недвижимого имущества, эксплуатируемого в прцессе оказания муниципальной услуги</t>
  </si>
  <si>
    <t>Цена единицы ресурса, руб.
НП</t>
  </si>
  <si>
    <t>Цена единицы ресурса, руб.
ТЭ</t>
  </si>
  <si>
    <t>Цена единицы ресурса, руб.
ССМ</t>
  </si>
  <si>
    <t>Цена единицы ресурса, руб. 
ВСМ</t>
  </si>
  <si>
    <t xml:space="preserve">Наименование </t>
  </si>
  <si>
    <t>Всего по учреждению :</t>
  </si>
  <si>
    <t>Количество занимающихся в учреждении всего, чел</t>
  </si>
  <si>
    <t>Количество занимающихся по услуге спортивной подготовки, чел</t>
  </si>
  <si>
    <t>5=3*4</t>
  </si>
  <si>
    <t>7=5-6</t>
  </si>
  <si>
    <t>Имеется в наличии, шт.</t>
  </si>
  <si>
    <t>Необходимо к приобретению, шт.</t>
  </si>
  <si>
    <t xml:space="preserve">Легкая атлетика </t>
  </si>
  <si>
    <t xml:space="preserve">Пауэрлифтинг </t>
  </si>
  <si>
    <t>Скамейка гимнастическая</t>
  </si>
  <si>
    <t>Маты гимнастические</t>
  </si>
  <si>
    <t xml:space="preserve">Барьер легкоатлетический универсальный     </t>
  </si>
  <si>
    <t xml:space="preserve">Брус для отталкивания                      </t>
  </si>
  <si>
    <t xml:space="preserve">Круг для места толкания ядра               </t>
  </si>
  <si>
    <t xml:space="preserve">Место приземления для прыжков в высоту     </t>
  </si>
  <si>
    <t xml:space="preserve">Палочка эстафетная                         </t>
  </si>
  <si>
    <t xml:space="preserve">Планка для прыжков в высоту                </t>
  </si>
  <si>
    <t xml:space="preserve">Стартовые колодки                          </t>
  </si>
  <si>
    <t xml:space="preserve">Стойки для прыжков в высоту                </t>
  </si>
  <si>
    <t xml:space="preserve">Ядро массой 3,0 кг                         </t>
  </si>
  <si>
    <t xml:space="preserve">Ядро массой 4,0 кг                         </t>
  </si>
  <si>
    <t xml:space="preserve">Ядро массой 5,0 кг                         </t>
  </si>
  <si>
    <t xml:space="preserve">Ядро массой 6,0 кг                         </t>
  </si>
  <si>
    <t xml:space="preserve">Буфер для остановки ядра                   </t>
  </si>
  <si>
    <t xml:space="preserve">Гантели массивные от 0,5 кг до 5 кг        </t>
  </si>
  <si>
    <t xml:space="preserve">Гантели переменной массы от 3 до 12 кг     </t>
  </si>
  <si>
    <t xml:space="preserve">Гири спортивные 16, 24, 32 кг              </t>
  </si>
  <si>
    <t xml:space="preserve">Грабли                                     </t>
  </si>
  <si>
    <t xml:space="preserve">Доска информационная                       </t>
  </si>
  <si>
    <t xml:space="preserve">Конь гимнастический                        </t>
  </si>
  <si>
    <t xml:space="preserve">Мат гимнастический                         </t>
  </si>
  <si>
    <t xml:space="preserve">Мяч для метания 140 г                      </t>
  </si>
  <si>
    <t xml:space="preserve">Мяч набивной (медицинбол) от 1 до 5 кг     </t>
  </si>
  <si>
    <t xml:space="preserve">Пистолет стартовый                         </t>
  </si>
  <si>
    <t xml:space="preserve">Помост тяжелоатлетический (2,8 x 2,8 м)    </t>
  </si>
  <si>
    <t xml:space="preserve">Рулетка 10 м                               </t>
  </si>
  <si>
    <t xml:space="preserve">Рулетка 100 м                              </t>
  </si>
  <si>
    <t xml:space="preserve">Рулетка 20 м                               </t>
  </si>
  <si>
    <t xml:space="preserve">Рулетка 50 м                               </t>
  </si>
  <si>
    <t xml:space="preserve">Секундомер                                 </t>
  </si>
  <si>
    <t xml:space="preserve">Скамейка гимнастическая                    </t>
  </si>
  <si>
    <t xml:space="preserve">Скамейка для жима штанги лежа              </t>
  </si>
  <si>
    <t xml:space="preserve">Стенка гимнастическая                      </t>
  </si>
  <si>
    <t xml:space="preserve">Стойки для приседания со штангой           </t>
  </si>
  <si>
    <t xml:space="preserve">Указатель направления ветра                </t>
  </si>
  <si>
    <t xml:space="preserve">Штанга тяжелоатлетическая                  </t>
  </si>
  <si>
    <t xml:space="preserve">Электромегафон                             </t>
  </si>
  <si>
    <t xml:space="preserve">Измеритель высоты установки планки для  прыжков в высоту   </t>
  </si>
  <si>
    <t>Покрышка непромокаемая для мест приземления</t>
  </si>
  <si>
    <t xml:space="preserve">Армстолы </t>
  </si>
  <si>
    <t xml:space="preserve">штук </t>
  </si>
  <si>
    <t xml:space="preserve">Брусья </t>
  </si>
  <si>
    <t xml:space="preserve">Вертикальный гриф </t>
  </si>
  <si>
    <t xml:space="preserve">Весы до 150 кг </t>
  </si>
  <si>
    <t xml:space="preserve">Гантели переменного веса (от 3 до 30 кг) </t>
  </si>
  <si>
    <t xml:space="preserve">комплект </t>
  </si>
  <si>
    <t xml:space="preserve">Гири спортивные (8, 12, 16, 24, 32 кг) </t>
  </si>
  <si>
    <t xml:space="preserve">Горизонтальная скамья </t>
  </si>
  <si>
    <t xml:space="preserve">Диски для штанги (от 1,25 до 20 кг) </t>
  </si>
  <si>
    <t xml:space="preserve">Канат </t>
  </si>
  <si>
    <t xml:space="preserve">Кистевой динамометр </t>
  </si>
  <si>
    <t xml:space="preserve">Кистевой эспандер </t>
  </si>
  <si>
    <t xml:space="preserve">Магнезница </t>
  </si>
  <si>
    <t xml:space="preserve">Маты гимнастические </t>
  </si>
  <si>
    <t xml:space="preserve">Наклонная скамья для тренировки мышц брюшного пресса </t>
  </si>
  <si>
    <t xml:space="preserve">Наклонная скамья со стойками </t>
  </si>
  <si>
    <t xml:space="preserve">Перекладина </t>
  </si>
  <si>
    <t xml:space="preserve">Подставка под ноги </t>
  </si>
  <si>
    <t xml:space="preserve">Регулируемая скамья </t>
  </si>
  <si>
    <t xml:space="preserve">Регулируемый блочный тренажер </t>
  </si>
  <si>
    <t xml:space="preserve">Резиновый эспандер </t>
  </si>
  <si>
    <t xml:space="preserve">Ремни для силовых упражнений </t>
  </si>
  <si>
    <t xml:space="preserve">Ремни для фиксации захвата рук </t>
  </si>
  <si>
    <t xml:space="preserve">Рукоятки для тренажера (разного диаметра) </t>
  </si>
  <si>
    <t xml:space="preserve">Секундомер </t>
  </si>
  <si>
    <t xml:space="preserve">Скамейка гимнастическая </t>
  </si>
  <si>
    <t xml:space="preserve">Скамья для жима лежа со стойками </t>
  </si>
  <si>
    <t xml:space="preserve">Скамья Л.Скотта </t>
  </si>
  <si>
    <t xml:space="preserve">Стеллаж для гантелей </t>
  </si>
  <si>
    <t xml:space="preserve">Стенка гимнастическая </t>
  </si>
  <si>
    <t xml:space="preserve">Стойка для дисков </t>
  </si>
  <si>
    <t xml:space="preserve">Стойка для штанг </t>
  </si>
  <si>
    <t xml:space="preserve">Тренажер для тренировки мышц предплечья и кистей </t>
  </si>
  <si>
    <t xml:space="preserve">Штанга </t>
  </si>
  <si>
    <t>Амрестлиг</t>
  </si>
  <si>
    <t>Лыжные гонки</t>
  </si>
  <si>
    <t>Лыжи гоночные</t>
  </si>
  <si>
    <t>Крепления лыжные</t>
  </si>
  <si>
    <t>Палки для лыжных гонок</t>
  </si>
  <si>
    <t>Снегоход укомплектованный приспособлением для прокладки лыжных трасс либо ратрак (снегоукрепительная машина для прокладки лыжных трасс)</t>
  </si>
  <si>
    <t>Снегоход</t>
  </si>
  <si>
    <t>Измеритель скорости ветра</t>
  </si>
  <si>
    <t>Термометр наружный</t>
  </si>
  <si>
    <t>Флажки для разметки лыжных трасс</t>
  </si>
  <si>
    <t>Гантели переменной массы от 3 до 12 кг</t>
  </si>
  <si>
    <t xml:space="preserve">Зеркало настенное (0,6*2) </t>
  </si>
  <si>
    <t>Лыжероллеры</t>
  </si>
  <si>
    <t>Набивные мячи от 1 до 5 кг</t>
  </si>
  <si>
    <t>Мяч баскетбольный</t>
  </si>
  <si>
    <t>Мяч теннисный</t>
  </si>
  <si>
    <t>Мяч футбольный</t>
  </si>
  <si>
    <t>Рулетка металлическая 50 м</t>
  </si>
  <si>
    <t>Стол для подготовки лыж</t>
  </si>
  <si>
    <t>Электромегафон</t>
  </si>
  <si>
    <t xml:space="preserve">Эспандер лыжника </t>
  </si>
  <si>
    <t xml:space="preserve">Помост для пауэрлифтинга        </t>
  </si>
  <si>
    <t xml:space="preserve">Штанга для пауэрлифтинга  (350 кг.)                 </t>
  </si>
  <si>
    <t xml:space="preserve">Весы до 200 кг                    </t>
  </si>
  <si>
    <t xml:space="preserve">Емкость для магнезии                        </t>
  </si>
  <si>
    <t xml:space="preserve">Зеркало настенное 0,6 x 2 м       </t>
  </si>
  <si>
    <t>Телевизор (диагональ не менее 100 см.)</t>
  </si>
  <si>
    <t xml:space="preserve">Гантели переменной массы от 3 до 50 кг                             </t>
  </si>
  <si>
    <t xml:space="preserve">Гири спортивные 16, 24, 32 кг     </t>
  </si>
  <si>
    <t xml:space="preserve">Кушетка массажная                 </t>
  </si>
  <si>
    <t xml:space="preserve">Перекладина гимнастическая        </t>
  </si>
  <si>
    <t xml:space="preserve">Плинты для штангистов             </t>
  </si>
  <si>
    <t xml:space="preserve">Скамейка гимнастическая           </t>
  </si>
  <si>
    <t xml:space="preserve">Стеллаж для хранения дисков и штанг                             </t>
  </si>
  <si>
    <t xml:space="preserve">Стеллаж для хранения гантелей     </t>
  </si>
  <si>
    <t xml:space="preserve">Стенка гимнастическая             </t>
  </si>
  <si>
    <t xml:space="preserve">Стойки для приседания со штангой  </t>
  </si>
  <si>
    <t>Скамья для жима лежа</t>
  </si>
  <si>
    <t xml:space="preserve">Секундомер                        </t>
  </si>
  <si>
    <t xml:space="preserve">комплект   </t>
  </si>
  <si>
    <t xml:space="preserve">штук   </t>
  </si>
  <si>
    <t xml:space="preserve">пар   </t>
  </si>
  <si>
    <t xml:space="preserve">штук     </t>
  </si>
  <si>
    <t xml:space="preserve">пара     </t>
  </si>
  <si>
    <t xml:space="preserve">пар     </t>
  </si>
  <si>
    <t>Волейбол</t>
  </si>
  <si>
    <t>Барьер легкоатлетический </t>
  </si>
  <si>
    <t>Гантели массивные от 1 до 5 кг </t>
  </si>
  <si>
    <t>Мяч набивной (медицинбол) весом от 1 до 5 кг </t>
  </si>
  <si>
    <t>Корзина для мячей </t>
  </si>
  <si>
    <t>Мяч теннисный </t>
  </si>
  <si>
    <t>Мяч футбольный </t>
  </si>
  <si>
    <t>Насос для накачивания мячей в комплекте с иглами </t>
  </si>
  <si>
    <t>Скакалка гимнастическая </t>
  </si>
  <si>
    <t>Скамейка гимнастическая </t>
  </si>
  <si>
    <t>Утяжелитель для ног </t>
  </si>
  <si>
    <t>Утяжелитель для рук </t>
  </si>
  <si>
    <t>Сетка волейбольная со стойками </t>
  </si>
  <si>
    <t>Мяч волейбольный </t>
  </si>
  <si>
    <t>Протектор для волейбольных стоек </t>
  </si>
  <si>
    <t>комплект </t>
  </si>
  <si>
    <t>штук </t>
  </si>
  <si>
    <t>Анализ имеющегося и необходимого инвентаря</t>
  </si>
  <si>
    <t xml:space="preserve"> МБУ "Спортивная школа г. Шарыпово"</t>
  </si>
  <si>
    <t>Футбол</t>
  </si>
  <si>
    <t xml:space="preserve">баскетбол </t>
  </si>
  <si>
    <t xml:space="preserve">хоккей </t>
  </si>
  <si>
    <t xml:space="preserve">Отделение АФК </t>
  </si>
  <si>
    <t xml:space="preserve">Ворота футбольные </t>
  </si>
  <si>
    <t xml:space="preserve">Мяч футбольный  </t>
  </si>
  <si>
    <t>Флаги для разметки футбольного поля</t>
  </si>
  <si>
    <t>Ворота футбольные, переносные</t>
  </si>
  <si>
    <t xml:space="preserve">Стойки для обводки  </t>
  </si>
  <si>
    <t>Гантели массивные от 1 до 5 кг</t>
  </si>
  <si>
    <t>Насос универсальный для накачивания  мячей</t>
  </si>
  <si>
    <t>Мяч набивной (медицинбол)</t>
  </si>
  <si>
    <t xml:space="preserve">Сетка для переноски мячей     </t>
  </si>
  <si>
    <t>Доска тактическая</t>
  </si>
  <si>
    <t>Стойка для обводки</t>
  </si>
  <si>
    <t>Фишки (конусы)</t>
  </si>
  <si>
    <t>Барьер легкоатлетический</t>
  </si>
  <si>
    <t>Корзина для мячей</t>
  </si>
  <si>
    <t>Насос для накачивания мячей в комплекте с иглами</t>
  </si>
  <si>
    <t>Скакалка</t>
  </si>
  <si>
    <t>Утяжелитель для ног</t>
  </si>
  <si>
    <t>Утяжелитель для рук</t>
  </si>
  <si>
    <t>Эспандер резиновый ленточный</t>
  </si>
  <si>
    <t>Ворота для хоккея</t>
  </si>
  <si>
    <t>Клюшка для игры в хоккей</t>
  </si>
  <si>
    <t>Ограждение площадки (борта, сетка защитная)</t>
  </si>
  <si>
    <t>Шайба</t>
  </si>
  <si>
    <t>Мячи набивные (медицинбол) весом от 1 до 5 кг</t>
  </si>
  <si>
    <t>Сумка для клюшек</t>
  </si>
  <si>
    <t>Мячи для игры в бочча</t>
  </si>
  <si>
    <t>Рампа/желоб для игры в бочча</t>
  </si>
  <si>
    <t>Экстендер (головной/ротовой манипулятор)</t>
  </si>
  <si>
    <t>Гантели переменной массы от 1,5 до 6 кг</t>
  </si>
  <si>
    <t>Кушетка массажная</t>
  </si>
  <si>
    <t>Мат гимнастический</t>
  </si>
  <si>
    <t>Мяч набивной (медицинбол) от 1 до 3 кг</t>
  </si>
  <si>
    <t>Эспандер</t>
  </si>
  <si>
    <t>Лента для разметки</t>
  </si>
  <si>
    <t>Теннисный стол</t>
  </si>
  <si>
    <t>Ракетка для настольного тенниса</t>
  </si>
  <si>
    <t>Мячи для настольного тенниса</t>
  </si>
  <si>
    <t>Помост тяжелоатлетический</t>
  </si>
  <si>
    <t>Штанга тяжелоатлетическая</t>
  </si>
  <si>
    <t>Весы до 200 кг</t>
  </si>
  <si>
    <t>Магнезница</t>
  </si>
  <si>
    <t>Зеркало настенное 0,6x2 м</t>
  </si>
  <si>
    <t>Табло информационное световое электронное</t>
  </si>
  <si>
    <t>Гири спортивные 16, 24, 32 кг</t>
  </si>
  <si>
    <t>Перекладина гимнастическая</t>
  </si>
  <si>
    <t>Стеллаж для хранения дисков и штанг</t>
  </si>
  <si>
    <t>Стеллаж для хранения гантелей</t>
  </si>
  <si>
    <t>Положено на всех занимающихся по ФССП</t>
  </si>
  <si>
    <r>
      <t xml:space="preserve"> В соответсвии с  федеральными стандартами спортивной подготовки общее количество необходимого оборудовния и инвентаря по всем отделениям МБУ "Спортивная школа г. Шарыпово" - 1554 едениц.  Проведенный анализ показал, что  в наличии имеется 625 единиц. Вывод:  Обеспеченность спортивным инвентарем и оборудованием на сегодняшний составляет </t>
    </r>
    <r>
      <rPr>
        <b/>
        <sz val="11"/>
        <rFont val="Times New Roman"/>
        <family val="1"/>
        <charset val="204"/>
      </rPr>
      <t>40,21</t>
    </r>
    <r>
      <rPr>
        <sz val="11"/>
        <rFont val="Times New Roman"/>
        <family val="1"/>
        <charset val="204"/>
      </rPr>
      <t>%</t>
    </r>
    <r>
      <rPr>
        <sz val="11"/>
        <color theme="1"/>
        <rFont val="Times New Roman"/>
        <family val="1"/>
        <charset val="204"/>
      </rPr>
      <t xml:space="preserve"> от необходимого.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</si>
</sst>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0.0000"/>
    <numFmt numFmtId="168" formatCode="0.0"/>
    <numFmt numFmtId="169" formatCode="0.00000"/>
    <numFmt numFmtId="170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0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164" fontId="11" fillId="0" borderId="0" applyFont="0" applyFill="0" applyBorder="0" applyAlignment="0" applyProtection="0"/>
  </cellStyleXfs>
  <cellXfs count="38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15" xfId="0" applyNumberFormat="1" applyBorder="1"/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8" xfId="0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/>
    <xf numFmtId="0" fontId="0" fillId="0" borderId="12" xfId="0" applyBorder="1" applyAlignment="1">
      <alignment horizontal="justify" vertical="top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Alignment="1"/>
    <xf numFmtId="0" fontId="3" fillId="0" borderId="0" xfId="0" applyFont="1" applyAlignment="1"/>
    <xf numFmtId="0" fontId="0" fillId="0" borderId="11" xfId="0" applyBorder="1" applyAlignment="1">
      <alignment vertical="top" wrapText="1"/>
    </xf>
    <xf numFmtId="164" fontId="0" fillId="0" borderId="13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2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top" wrapText="1"/>
    </xf>
    <xf numFmtId="164" fontId="0" fillId="0" borderId="1" xfId="0" applyNumberFormat="1" applyBorder="1"/>
    <xf numFmtId="0" fontId="0" fillId="0" borderId="5" xfId="0" applyBorder="1" applyAlignment="1">
      <alignment vertical="top" wrapText="1"/>
    </xf>
    <xf numFmtId="2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5" xfId="0" applyNumberFormat="1" applyBorder="1"/>
    <xf numFmtId="2" fontId="0" fillId="0" borderId="25" xfId="0" applyNumberFormat="1" applyBorder="1"/>
    <xf numFmtId="1" fontId="0" fillId="0" borderId="25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/>
    <xf numFmtId="2" fontId="0" fillId="0" borderId="39" xfId="0" applyNumberFormat="1" applyBorder="1"/>
    <xf numFmtId="1" fontId="0" fillId="0" borderId="39" xfId="0" applyNumberFormat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1" fontId="0" fillId="0" borderId="42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164" fontId="0" fillId="0" borderId="39" xfId="0" applyNumberFormat="1" applyBorder="1" applyAlignment="1">
      <alignment horizontal="center" vertical="center"/>
    </xf>
    <xf numFmtId="2" fontId="0" fillId="0" borderId="48" xfId="0" applyNumberFormat="1" applyBorder="1"/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40" xfId="0" applyNumberFormat="1" applyBorder="1"/>
    <xf numFmtId="164" fontId="0" fillId="0" borderId="46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49" xfId="0" applyNumberFormat="1" applyBorder="1"/>
    <xf numFmtId="2" fontId="0" fillId="0" borderId="9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0" fontId="4" fillId="0" borderId="0" xfId="0" applyFont="1"/>
    <xf numFmtId="0" fontId="0" fillId="0" borderId="5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0" fillId="0" borderId="54" xfId="0" applyNumberFormat="1" applyBorder="1" applyAlignment="1">
      <alignment horizontal="center"/>
    </xf>
    <xf numFmtId="0" fontId="0" fillId="0" borderId="50" xfId="0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vertical="top" wrapText="1"/>
    </xf>
    <xf numFmtId="165" fontId="0" fillId="0" borderId="19" xfId="0" applyNumberFormat="1" applyBorder="1" applyAlignment="1">
      <alignment horizontal="center" vertical="top" wrapText="1"/>
    </xf>
    <xf numFmtId="164" fontId="0" fillId="0" borderId="19" xfId="0" applyNumberFormat="1" applyBorder="1" applyAlignment="1">
      <alignment horizontal="center" vertical="top" wrapText="1"/>
    </xf>
    <xf numFmtId="164" fontId="0" fillId="0" borderId="56" xfId="0" applyNumberFormat="1" applyBorder="1"/>
    <xf numFmtId="164" fontId="0" fillId="0" borderId="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2" xfId="0" applyFont="1" applyBorder="1"/>
    <xf numFmtId="2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7" fillId="0" borderId="0" xfId="1" applyFont="1"/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wrapText="1"/>
    </xf>
    <xf numFmtId="0" fontId="7" fillId="0" borderId="5" xfId="1" applyFont="1" applyBorder="1" applyAlignment="1">
      <alignment horizontal="left" vertical="top"/>
    </xf>
    <xf numFmtId="0" fontId="7" fillId="0" borderId="5" xfId="1" applyFont="1" applyBorder="1" applyAlignment="1">
      <alignment horizontal="center" vertical="center" wrapText="1"/>
    </xf>
    <xf numFmtId="4" fontId="7" fillId="0" borderId="0" xfId="1" applyNumberFormat="1" applyFont="1"/>
    <xf numFmtId="0" fontId="8" fillId="0" borderId="0" xfId="1" applyFont="1"/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/>
    <xf numFmtId="0" fontId="7" fillId="0" borderId="2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8" fillId="0" borderId="12" xfId="1" applyFont="1" applyBorder="1" applyAlignment="1">
      <alignment horizontal="center" vertical="center"/>
    </xf>
    <xf numFmtId="169" fontId="7" fillId="0" borderId="0" xfId="1" applyNumberFormat="1" applyFont="1"/>
    <xf numFmtId="167" fontId="7" fillId="0" borderId="0" xfId="1" applyNumberFormat="1" applyFont="1"/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right" vertical="center"/>
    </xf>
    <xf numFmtId="4" fontId="7" fillId="2" borderId="20" xfId="1" applyNumberFormat="1" applyFont="1" applyFill="1" applyBorder="1" applyAlignment="1">
      <alignment horizontal="right" vertical="center"/>
    </xf>
    <xf numFmtId="4" fontId="8" fillId="2" borderId="23" xfId="1" applyNumberFormat="1" applyFont="1" applyFill="1" applyBorder="1" applyAlignment="1">
      <alignment horizontal="right" vertical="center"/>
    </xf>
    <xf numFmtId="4" fontId="7" fillId="0" borderId="5" xfId="1" applyNumberFormat="1" applyFont="1" applyBorder="1" applyAlignment="1">
      <alignment horizontal="right" vertical="center"/>
    </xf>
    <xf numFmtId="4" fontId="7" fillId="0" borderId="20" xfId="1" applyNumberFormat="1" applyFont="1" applyBorder="1" applyAlignment="1">
      <alignment horizontal="right" vertical="center"/>
    </xf>
    <xf numFmtId="4" fontId="8" fillId="0" borderId="23" xfId="1" applyNumberFormat="1" applyFont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 vertical="top" wrapText="1"/>
    </xf>
    <xf numFmtId="2" fontId="0" fillId="2" borderId="16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top"/>
    </xf>
    <xf numFmtId="2" fontId="0" fillId="2" borderId="1" xfId="0" applyNumberForma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167" fontId="0" fillId="0" borderId="1" xfId="0" applyNumberFormat="1" applyBorder="1" applyAlignment="1">
      <alignment horizontal="right" vertical="top"/>
    </xf>
    <xf numFmtId="166" fontId="0" fillId="0" borderId="16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top"/>
    </xf>
    <xf numFmtId="168" fontId="0" fillId="2" borderId="1" xfId="0" applyNumberForma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horizontal="justify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8" fontId="0" fillId="0" borderId="1" xfId="0" applyNumberFormat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70" fontId="0" fillId="2" borderId="1" xfId="0" applyNumberFormat="1" applyFill="1" applyBorder="1" applyAlignment="1">
      <alignment horizontal="right" vertical="top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2" fontId="8" fillId="0" borderId="24" xfId="1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2" borderId="16" xfId="0" applyNumberFormat="1" applyFill="1" applyBorder="1" applyAlignment="1">
      <alignment horizontal="right" vertical="center"/>
    </xf>
    <xf numFmtId="4" fontId="0" fillId="2" borderId="42" xfId="0" applyNumberForma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justify"/>
    </xf>
    <xf numFmtId="0" fontId="4" fillId="0" borderId="16" xfId="0" applyFont="1" applyBorder="1" applyAlignment="1">
      <alignment horizontal="right" vertical="center"/>
    </xf>
    <xf numFmtId="166" fontId="4" fillId="2" borderId="16" xfId="0" applyNumberFormat="1" applyFont="1" applyFill="1" applyBorder="1" applyAlignment="1">
      <alignment horizontal="right" vertical="center"/>
    </xf>
    <xf numFmtId="0" fontId="4" fillId="0" borderId="16" xfId="0" applyFont="1" applyBorder="1"/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32" xfId="0" applyNumberFormat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1" xfId="0" applyNumberForma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4" fillId="0" borderId="1" xfId="0" applyNumberFormat="1" applyFont="1" applyBorder="1"/>
    <xf numFmtId="4" fontId="0" fillId="2" borderId="13" xfId="0" applyNumberForma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center" wrapText="1"/>
    </xf>
    <xf numFmtId="2" fontId="0" fillId="0" borderId="15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0" fontId="11" fillId="0" borderId="0" xfId="2"/>
    <xf numFmtId="0" fontId="0" fillId="0" borderId="60" xfId="0" applyBorder="1" applyAlignment="1">
      <alignment horizontal="center" vertical="center"/>
    </xf>
    <xf numFmtId="0" fontId="12" fillId="0" borderId="0" xfId="2" applyFont="1"/>
    <xf numFmtId="0" fontId="11" fillId="0" borderId="0" xfId="2" applyAlignment="1">
      <alignment horizontal="center"/>
    </xf>
    <xf numFmtId="0" fontId="11" fillId="0" borderId="0" xfId="2" applyAlignment="1">
      <alignment horizontal="center" vertical="center"/>
    </xf>
    <xf numFmtId="0" fontId="19" fillId="0" borderId="0" xfId="2" applyFont="1"/>
    <xf numFmtId="0" fontId="7" fillId="0" borderId="59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2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8" fillId="0" borderId="14" xfId="1" applyFont="1" applyBorder="1" applyAlignment="1">
      <alignment horizontal="left" wrapText="1"/>
    </xf>
    <xf numFmtId="0" fontId="12" fillId="0" borderId="0" xfId="2" applyFont="1" applyAlignment="1">
      <alignment horizontal="left" vertical="top" wrapText="1"/>
    </xf>
    <xf numFmtId="0" fontId="18" fillId="3" borderId="0" xfId="2" applyFont="1" applyFill="1" applyAlignment="1">
      <alignment horizontal="center"/>
    </xf>
    <xf numFmtId="0" fontId="22" fillId="3" borderId="0" xfId="2" applyFont="1" applyFill="1" applyAlignment="1">
      <alignment horizontal="center" vertical="center"/>
    </xf>
    <xf numFmtId="0" fontId="18" fillId="3" borderId="0" xfId="2" applyFont="1" applyFill="1" applyAlignment="1">
      <alignment horizontal="center" vertical="center"/>
    </xf>
    <xf numFmtId="0" fontId="18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0" fontId="12" fillId="3" borderId="0" xfId="2" applyFont="1" applyFill="1"/>
    <xf numFmtId="0" fontId="11" fillId="3" borderId="0" xfId="2" applyFill="1"/>
    <xf numFmtId="0" fontId="11" fillId="3" borderId="0" xfId="2" applyFill="1" applyAlignment="1">
      <alignment horizontal="center" vertical="center"/>
    </xf>
    <xf numFmtId="0" fontId="11" fillId="3" borderId="0" xfId="2" applyFill="1" applyAlignment="1">
      <alignment horizontal="center"/>
    </xf>
    <xf numFmtId="0" fontId="13" fillId="3" borderId="1" xfId="2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center" vertical="top" wrapText="1"/>
    </xf>
    <xf numFmtId="0" fontId="13" fillId="3" borderId="56" xfId="2" applyFont="1" applyFill="1" applyBorder="1" applyAlignment="1">
      <alignment horizontal="center" vertical="top" wrapText="1"/>
    </xf>
    <xf numFmtId="0" fontId="13" fillId="3" borderId="16" xfId="2" applyFont="1" applyFill="1" applyBorder="1" applyAlignment="1">
      <alignment horizontal="center" vertical="top" wrapText="1"/>
    </xf>
    <xf numFmtId="0" fontId="12" fillId="3" borderId="1" xfId="2" applyFont="1" applyFill="1" applyBorder="1" applyAlignment="1">
      <alignment horizontal="center" vertical="center"/>
    </xf>
    <xf numFmtId="0" fontId="11" fillId="3" borderId="1" xfId="2" applyFill="1" applyBorder="1" applyAlignment="1">
      <alignment horizontal="center" vertical="center" wrapText="1"/>
    </xf>
    <xf numFmtId="0" fontId="11" fillId="3" borderId="1" xfId="2" applyFill="1" applyBorder="1" applyAlignment="1">
      <alignment horizontal="center" vertical="center"/>
    </xf>
    <xf numFmtId="0" fontId="14" fillId="3" borderId="1" xfId="2" applyFont="1" applyFill="1" applyBorder="1" applyAlignment="1">
      <alignment horizontal="right"/>
    </xf>
    <xf numFmtId="0" fontId="16" fillId="3" borderId="1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3" fillId="3" borderId="1" xfId="2" applyFont="1" applyFill="1" applyBorder="1" applyAlignment="1">
      <alignment wrapText="1"/>
    </xf>
    <xf numFmtId="0" fontId="20" fillId="3" borderId="1" xfId="0" applyFont="1" applyFill="1" applyBorder="1" applyAlignment="1">
      <alignment vertical="center" wrapText="1"/>
    </xf>
    <xf numFmtId="0" fontId="13" fillId="3" borderId="16" xfId="2" applyFont="1" applyFill="1" applyBorder="1" applyAlignment="1">
      <alignment vertical="top" wrapText="1"/>
    </xf>
    <xf numFmtId="0" fontId="13" fillId="3" borderId="1" xfId="2" applyFont="1" applyFill="1" applyBorder="1" applyAlignment="1">
      <alignment horizontal="center" vertical="top" wrapText="1"/>
    </xf>
    <xf numFmtId="0" fontId="13" fillId="3" borderId="1" xfId="2" applyFont="1" applyFill="1" applyBorder="1" applyAlignment="1">
      <alignment vertical="top" wrapText="1"/>
    </xf>
    <xf numFmtId="0" fontId="16" fillId="3" borderId="1" xfId="2" applyFont="1" applyFill="1" applyBorder="1" applyAlignment="1">
      <alignment horizontal="right"/>
    </xf>
    <xf numFmtId="0" fontId="17" fillId="3" borderId="1" xfId="2" applyFont="1" applyFill="1" applyBorder="1" applyAlignment="1">
      <alignment vertical="top" wrapText="1"/>
    </xf>
    <xf numFmtId="0" fontId="17" fillId="3" borderId="1" xfId="2" applyFont="1" applyFill="1" applyBorder="1" applyAlignment="1">
      <alignment horizontal="right" vertical="top" wrapText="1"/>
    </xf>
    <xf numFmtId="0" fontId="16" fillId="3" borderId="1" xfId="2" applyFont="1" applyFill="1" applyBorder="1"/>
    <xf numFmtId="0" fontId="14" fillId="3" borderId="1" xfId="2" applyFont="1" applyFill="1" applyBorder="1" applyAlignment="1">
      <alignment horizontal="right" vertical="top" wrapText="1"/>
    </xf>
    <xf numFmtId="0" fontId="13" fillId="3" borderId="1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4" xfId="2" applyFont="1" applyFill="1" applyBorder="1"/>
    <xf numFmtId="0" fontId="21" fillId="3" borderId="1" xfId="0" applyFont="1" applyFill="1" applyBorder="1" applyAlignment="1">
      <alignment horizontal="center" vertical="center" wrapText="1"/>
    </xf>
    <xf numFmtId="0" fontId="17" fillId="3" borderId="16" xfId="2" applyFont="1" applyFill="1" applyBorder="1" applyAlignment="1">
      <alignment horizontal="right" vertical="top" wrapText="1"/>
    </xf>
    <xf numFmtId="0" fontId="17" fillId="3" borderId="16" xfId="2" applyFont="1" applyFill="1" applyBorder="1"/>
    <xf numFmtId="0" fontId="17" fillId="3" borderId="1" xfId="2" applyFont="1" applyFill="1" applyBorder="1"/>
    <xf numFmtId="0" fontId="17" fillId="3" borderId="16" xfId="2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0" fontId="18" fillId="3" borderId="1" xfId="2" applyFont="1" applyFill="1" applyBorder="1" applyAlignment="1">
      <alignment horizontal="right" vertical="top" wrapText="1"/>
    </xf>
    <xf numFmtId="0" fontId="13" fillId="3" borderId="1" xfId="2" applyFont="1" applyFill="1" applyBorder="1" applyAlignment="1">
      <alignment horizontal="left"/>
    </xf>
    <xf numFmtId="0" fontId="13" fillId="3" borderId="1" xfId="2" applyFont="1" applyFill="1" applyBorder="1"/>
    <xf numFmtId="0" fontId="13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center"/>
    </xf>
    <xf numFmtId="0" fontId="15" fillId="3" borderId="1" xfId="2" applyFont="1" applyFill="1" applyBorder="1"/>
    <xf numFmtId="0" fontId="8" fillId="3" borderId="1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right" vertical="top" wrapText="1"/>
    </xf>
    <xf numFmtId="0" fontId="7" fillId="3" borderId="1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left" vertical="top" wrapText="1"/>
    </xf>
    <xf numFmtId="0" fontId="16" fillId="3" borderId="2" xfId="2" applyFont="1" applyFill="1" applyBorder="1" applyAlignment="1">
      <alignment horizontal="right"/>
    </xf>
    <xf numFmtId="0" fontId="16" fillId="3" borderId="3" xfId="2" applyFont="1" applyFill="1" applyBorder="1" applyAlignment="1">
      <alignment horizontal="right"/>
    </xf>
    <xf numFmtId="0" fontId="16" fillId="3" borderId="4" xfId="2" applyFont="1" applyFill="1" applyBorder="1" applyAlignment="1">
      <alignment horizontal="right"/>
    </xf>
    <xf numFmtId="0" fontId="15" fillId="5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0" fontId="11" fillId="5" borderId="1" xfId="2" applyFill="1" applyBorder="1" applyAlignment="1">
      <alignment horizontal="center" vertical="center" wrapText="1"/>
    </xf>
    <xf numFmtId="0" fontId="13" fillId="4" borderId="56" xfId="2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top" wrapText="1"/>
    </xf>
    <xf numFmtId="0" fontId="17" fillId="4" borderId="56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H227"/>
  <sheetViews>
    <sheetView tabSelected="1" view="pageBreakPreview" topLeftCell="C166" zoomScaleNormal="100" zoomScaleSheetLayoutView="100" workbookViewId="0">
      <selection activeCell="H107" sqref="H107"/>
    </sheetView>
  </sheetViews>
  <sheetFormatPr defaultRowHeight="15" x14ac:dyDescent="0.25"/>
  <cols>
    <col min="1" max="2" width="9.140625" style="266"/>
    <col min="3" max="3" width="57.7109375" style="268" customWidth="1"/>
    <col min="4" max="4" width="14.28515625" style="266" customWidth="1"/>
    <col min="5" max="5" width="11.5703125" style="266" customWidth="1"/>
    <col min="6" max="6" width="18.140625" style="266" customWidth="1"/>
    <col min="7" max="7" width="11" style="270" customWidth="1"/>
    <col min="8" max="8" width="13.7109375" style="269" customWidth="1"/>
    <col min="9" max="16384" width="9.140625" style="266"/>
  </cols>
  <sheetData>
    <row r="1" spans="3:8" s="271" customFormat="1" ht="15.75" x14ac:dyDescent="0.25">
      <c r="C1" s="315" t="s">
        <v>412</v>
      </c>
      <c r="D1" s="315"/>
      <c r="E1" s="315"/>
      <c r="F1" s="315"/>
      <c r="G1" s="315"/>
      <c r="H1" s="315"/>
    </row>
    <row r="2" spans="3:8" s="271" customFormat="1" ht="15.75" x14ac:dyDescent="0.25">
      <c r="C2" s="316" t="s">
        <v>413</v>
      </c>
      <c r="D2" s="317"/>
      <c r="E2" s="317"/>
      <c r="F2" s="317"/>
      <c r="G2" s="317"/>
      <c r="H2" s="317"/>
    </row>
    <row r="3" spans="3:8" s="271" customFormat="1" ht="15.75" x14ac:dyDescent="0.25">
      <c r="C3" s="318"/>
      <c r="D3" s="318"/>
      <c r="E3" s="318"/>
      <c r="F3" s="319"/>
      <c r="G3" s="318"/>
      <c r="H3" s="318"/>
    </row>
    <row r="4" spans="3:8" x14ac:dyDescent="0.25">
      <c r="C4" s="320"/>
      <c r="D4" s="321"/>
      <c r="E4" s="321"/>
      <c r="F4" s="321"/>
      <c r="G4" s="322"/>
      <c r="H4" s="323"/>
    </row>
    <row r="5" spans="3:8" ht="22.5" customHeight="1" x14ac:dyDescent="0.25">
      <c r="C5" s="324" t="s">
        <v>265</v>
      </c>
      <c r="D5" s="325" t="s">
        <v>267</v>
      </c>
      <c r="E5" s="325" t="s">
        <v>268</v>
      </c>
      <c r="F5" s="326" t="s">
        <v>465</v>
      </c>
      <c r="G5" s="375" t="s">
        <v>271</v>
      </c>
      <c r="H5" s="326" t="s">
        <v>272</v>
      </c>
    </row>
    <row r="6" spans="3:8" ht="51.75" customHeight="1" x14ac:dyDescent="0.25">
      <c r="C6" s="324"/>
      <c r="D6" s="325"/>
      <c r="E6" s="325"/>
      <c r="F6" s="327"/>
      <c r="G6" s="375"/>
      <c r="H6" s="327"/>
    </row>
    <row r="7" spans="3:8" s="269" customFormat="1" ht="12.75" customHeight="1" x14ac:dyDescent="0.25">
      <c r="C7" s="328">
        <v>1</v>
      </c>
      <c r="D7" s="329">
        <v>2</v>
      </c>
      <c r="E7" s="329">
        <v>3</v>
      </c>
      <c r="F7" s="329" t="s">
        <v>269</v>
      </c>
      <c r="G7" s="376">
        <v>6</v>
      </c>
      <c r="H7" s="330" t="s">
        <v>270</v>
      </c>
    </row>
    <row r="8" spans="3:8" x14ac:dyDescent="0.25">
      <c r="C8" s="331" t="s">
        <v>273</v>
      </c>
      <c r="D8" s="332">
        <v>190</v>
      </c>
      <c r="E8" s="332">
        <v>176</v>
      </c>
      <c r="F8" s="333"/>
      <c r="G8" s="369"/>
      <c r="H8" s="333"/>
    </row>
    <row r="9" spans="3:8" x14ac:dyDescent="0.25">
      <c r="C9" s="335" t="s">
        <v>277</v>
      </c>
      <c r="D9" s="336" t="s">
        <v>28</v>
      </c>
      <c r="E9" s="337"/>
      <c r="F9" s="333">
        <v>40</v>
      </c>
      <c r="G9" s="369">
        <v>0</v>
      </c>
      <c r="H9" s="333">
        <f t="shared" ref="H9:H46" si="0">F9-G9</f>
        <v>40</v>
      </c>
    </row>
    <row r="10" spans="3:8" x14ac:dyDescent="0.25">
      <c r="C10" s="335" t="s">
        <v>278</v>
      </c>
      <c r="D10" s="336" t="s">
        <v>28</v>
      </c>
      <c r="E10" s="337"/>
      <c r="F10" s="333">
        <v>1</v>
      </c>
      <c r="G10" s="369">
        <v>0</v>
      </c>
      <c r="H10" s="333">
        <f t="shared" si="0"/>
        <v>1</v>
      </c>
    </row>
    <row r="11" spans="3:8" ht="16.5" customHeight="1" x14ac:dyDescent="0.25">
      <c r="C11" s="335" t="s">
        <v>279</v>
      </c>
      <c r="D11" s="336" t="s">
        <v>28</v>
      </c>
      <c r="E11" s="337"/>
      <c r="F11" s="333">
        <v>1</v>
      </c>
      <c r="G11" s="369">
        <v>0</v>
      </c>
      <c r="H11" s="333">
        <f t="shared" si="0"/>
        <v>1</v>
      </c>
    </row>
    <row r="12" spans="3:8" ht="16.5" customHeight="1" x14ac:dyDescent="0.25">
      <c r="C12" s="335" t="s">
        <v>280</v>
      </c>
      <c r="D12" s="336" t="s">
        <v>28</v>
      </c>
      <c r="E12" s="337"/>
      <c r="F12" s="333">
        <v>1</v>
      </c>
      <c r="G12" s="369">
        <v>0</v>
      </c>
      <c r="H12" s="333">
        <f t="shared" si="0"/>
        <v>1</v>
      </c>
    </row>
    <row r="13" spans="3:8" ht="16.5" customHeight="1" x14ac:dyDescent="0.25">
      <c r="C13" s="335" t="s">
        <v>281</v>
      </c>
      <c r="D13" s="336" t="s">
        <v>28</v>
      </c>
      <c r="E13" s="337"/>
      <c r="F13" s="333">
        <v>20</v>
      </c>
      <c r="G13" s="369">
        <v>1</v>
      </c>
      <c r="H13" s="333">
        <f t="shared" si="0"/>
        <v>19</v>
      </c>
    </row>
    <row r="14" spans="3:8" ht="16.5" customHeight="1" x14ac:dyDescent="0.25">
      <c r="C14" s="335" t="s">
        <v>282</v>
      </c>
      <c r="D14" s="336" t="s">
        <v>28</v>
      </c>
      <c r="E14" s="337"/>
      <c r="F14" s="333">
        <v>8</v>
      </c>
      <c r="G14" s="369">
        <v>1</v>
      </c>
      <c r="H14" s="333">
        <f t="shared" si="0"/>
        <v>7</v>
      </c>
    </row>
    <row r="15" spans="3:8" ht="16.5" customHeight="1" x14ac:dyDescent="0.25">
      <c r="C15" s="335" t="s">
        <v>283</v>
      </c>
      <c r="D15" s="336" t="s">
        <v>42</v>
      </c>
      <c r="E15" s="337"/>
      <c r="F15" s="333">
        <v>10</v>
      </c>
      <c r="G15" s="369">
        <v>2</v>
      </c>
      <c r="H15" s="333">
        <f t="shared" si="0"/>
        <v>8</v>
      </c>
    </row>
    <row r="16" spans="3:8" ht="16.5" customHeight="1" x14ac:dyDescent="0.25">
      <c r="C16" s="335" t="s">
        <v>284</v>
      </c>
      <c r="D16" s="336" t="s">
        <v>42</v>
      </c>
      <c r="E16" s="337"/>
      <c r="F16" s="333">
        <v>1</v>
      </c>
      <c r="G16" s="369">
        <v>1</v>
      </c>
      <c r="H16" s="333">
        <f t="shared" si="0"/>
        <v>0</v>
      </c>
    </row>
    <row r="17" spans="3:8" ht="16.5" customHeight="1" x14ac:dyDescent="0.25">
      <c r="C17" s="335" t="s">
        <v>285</v>
      </c>
      <c r="D17" s="336" t="s">
        <v>390</v>
      </c>
      <c r="E17" s="337"/>
      <c r="F17" s="333">
        <v>20</v>
      </c>
      <c r="G17" s="369">
        <v>1</v>
      </c>
      <c r="H17" s="333">
        <f t="shared" si="0"/>
        <v>19</v>
      </c>
    </row>
    <row r="18" spans="3:8" ht="16.5" customHeight="1" x14ac:dyDescent="0.25">
      <c r="C18" s="335" t="s">
        <v>286</v>
      </c>
      <c r="D18" s="336" t="s">
        <v>390</v>
      </c>
      <c r="E18" s="337"/>
      <c r="F18" s="333">
        <v>20</v>
      </c>
      <c r="G18" s="369">
        <v>1</v>
      </c>
      <c r="H18" s="333">
        <f t="shared" si="0"/>
        <v>19</v>
      </c>
    </row>
    <row r="19" spans="3:8" ht="16.5" customHeight="1" x14ac:dyDescent="0.25">
      <c r="C19" s="335" t="s">
        <v>287</v>
      </c>
      <c r="D19" s="336" t="s">
        <v>390</v>
      </c>
      <c r="E19" s="337"/>
      <c r="F19" s="333">
        <v>10</v>
      </c>
      <c r="G19" s="369">
        <v>1</v>
      </c>
      <c r="H19" s="333">
        <f t="shared" si="0"/>
        <v>9</v>
      </c>
    </row>
    <row r="20" spans="3:8" ht="16.5" customHeight="1" x14ac:dyDescent="0.25">
      <c r="C20" s="335" t="s">
        <v>288</v>
      </c>
      <c r="D20" s="336" t="s">
        <v>390</v>
      </c>
      <c r="E20" s="337"/>
      <c r="F20" s="333">
        <v>10</v>
      </c>
      <c r="G20" s="369">
        <v>1</v>
      </c>
      <c r="H20" s="333">
        <f t="shared" si="0"/>
        <v>9</v>
      </c>
    </row>
    <row r="21" spans="3:8" ht="16.5" customHeight="1" x14ac:dyDescent="0.25">
      <c r="C21" s="335" t="s">
        <v>289</v>
      </c>
      <c r="D21" s="336" t="s">
        <v>390</v>
      </c>
      <c r="E21" s="338"/>
      <c r="F21" s="339">
        <v>1</v>
      </c>
      <c r="G21" s="369">
        <v>1</v>
      </c>
      <c r="H21" s="333">
        <f t="shared" si="0"/>
        <v>0</v>
      </c>
    </row>
    <row r="22" spans="3:8" ht="16.5" customHeight="1" x14ac:dyDescent="0.25">
      <c r="C22" s="335" t="s">
        <v>290</v>
      </c>
      <c r="D22" s="336" t="s">
        <v>26</v>
      </c>
      <c r="E22" s="340"/>
      <c r="F22" s="339">
        <v>10</v>
      </c>
      <c r="G22" s="369">
        <v>0</v>
      </c>
      <c r="H22" s="333">
        <f t="shared" si="0"/>
        <v>10</v>
      </c>
    </row>
    <row r="23" spans="3:8" ht="16.5" customHeight="1" x14ac:dyDescent="0.25">
      <c r="C23" s="335" t="s">
        <v>291</v>
      </c>
      <c r="D23" s="336" t="s">
        <v>391</v>
      </c>
      <c r="E23" s="340"/>
      <c r="F23" s="339">
        <v>10</v>
      </c>
      <c r="G23" s="369">
        <v>0</v>
      </c>
      <c r="H23" s="333">
        <f t="shared" si="0"/>
        <v>10</v>
      </c>
    </row>
    <row r="24" spans="3:8" ht="16.5" customHeight="1" x14ac:dyDescent="0.25">
      <c r="C24" s="335" t="s">
        <v>292</v>
      </c>
      <c r="D24" s="336" t="s">
        <v>26</v>
      </c>
      <c r="E24" s="340"/>
      <c r="F24" s="339">
        <v>3</v>
      </c>
      <c r="G24" s="369">
        <v>0</v>
      </c>
      <c r="H24" s="333">
        <f t="shared" si="0"/>
        <v>3</v>
      </c>
    </row>
    <row r="25" spans="3:8" ht="16.5" customHeight="1" x14ac:dyDescent="0.25">
      <c r="C25" s="335" t="s">
        <v>293</v>
      </c>
      <c r="D25" s="336" t="s">
        <v>390</v>
      </c>
      <c r="E25" s="340"/>
      <c r="F25" s="339">
        <v>2</v>
      </c>
      <c r="G25" s="369">
        <v>1</v>
      </c>
      <c r="H25" s="333">
        <f t="shared" si="0"/>
        <v>1</v>
      </c>
    </row>
    <row r="26" spans="3:8" ht="16.5" customHeight="1" x14ac:dyDescent="0.25">
      <c r="C26" s="335" t="s">
        <v>294</v>
      </c>
      <c r="D26" s="336" t="s">
        <v>390</v>
      </c>
      <c r="E26" s="340"/>
      <c r="F26" s="339">
        <v>2</v>
      </c>
      <c r="G26" s="369">
        <v>0</v>
      </c>
      <c r="H26" s="333">
        <f t="shared" si="0"/>
        <v>2</v>
      </c>
    </row>
    <row r="27" spans="3:8" ht="16.5" customHeight="1" x14ac:dyDescent="0.25">
      <c r="C27" s="335" t="s">
        <v>313</v>
      </c>
      <c r="D27" s="336" t="s">
        <v>390</v>
      </c>
      <c r="E27" s="340"/>
      <c r="F27" s="339">
        <v>2</v>
      </c>
      <c r="G27" s="369">
        <v>0</v>
      </c>
      <c r="H27" s="333">
        <f t="shared" si="0"/>
        <v>2</v>
      </c>
    </row>
    <row r="28" spans="3:8" ht="16.5" customHeight="1" x14ac:dyDescent="0.25">
      <c r="C28" s="335" t="s">
        <v>295</v>
      </c>
      <c r="D28" s="336" t="s">
        <v>390</v>
      </c>
      <c r="E28" s="340"/>
      <c r="F28" s="339">
        <v>1</v>
      </c>
      <c r="G28" s="369">
        <v>0</v>
      </c>
      <c r="H28" s="333">
        <f t="shared" si="0"/>
        <v>1</v>
      </c>
    </row>
    <row r="29" spans="3:8" ht="16.5" customHeight="1" x14ac:dyDescent="0.25">
      <c r="C29" s="335" t="s">
        <v>296</v>
      </c>
      <c r="D29" s="336" t="s">
        <v>390</v>
      </c>
      <c r="E29" s="340"/>
      <c r="F29" s="339">
        <v>10</v>
      </c>
      <c r="G29" s="369">
        <v>0</v>
      </c>
      <c r="H29" s="333">
        <f t="shared" si="0"/>
        <v>10</v>
      </c>
    </row>
    <row r="30" spans="3:8" ht="16.5" customHeight="1" x14ac:dyDescent="0.25">
      <c r="C30" s="335" t="s">
        <v>297</v>
      </c>
      <c r="D30" s="336" t="s">
        <v>390</v>
      </c>
      <c r="E30" s="340"/>
      <c r="F30" s="339">
        <v>10</v>
      </c>
      <c r="G30" s="369">
        <v>10</v>
      </c>
      <c r="H30" s="333">
        <f t="shared" si="0"/>
        <v>0</v>
      </c>
    </row>
    <row r="31" spans="3:8" ht="16.5" customHeight="1" x14ac:dyDescent="0.25">
      <c r="C31" s="335" t="s">
        <v>298</v>
      </c>
      <c r="D31" s="336" t="s">
        <v>321</v>
      </c>
      <c r="E31" s="340"/>
      <c r="F31" s="339">
        <v>8</v>
      </c>
      <c r="G31" s="369">
        <v>5</v>
      </c>
      <c r="H31" s="333">
        <f t="shared" si="0"/>
        <v>3</v>
      </c>
    </row>
    <row r="32" spans="3:8" ht="16.5" customHeight="1" x14ac:dyDescent="0.25">
      <c r="C32" s="335" t="s">
        <v>299</v>
      </c>
      <c r="D32" s="336" t="s">
        <v>390</v>
      </c>
      <c r="E32" s="340"/>
      <c r="F32" s="339">
        <v>2</v>
      </c>
      <c r="G32" s="369">
        <v>2</v>
      </c>
      <c r="H32" s="333">
        <f t="shared" si="0"/>
        <v>0</v>
      </c>
    </row>
    <row r="33" spans="3:8" ht="16.5" customHeight="1" x14ac:dyDescent="0.25">
      <c r="C33" s="335" t="s">
        <v>300</v>
      </c>
      <c r="D33" s="336" t="s">
        <v>390</v>
      </c>
      <c r="E33" s="340"/>
      <c r="F33" s="339">
        <v>1</v>
      </c>
      <c r="G33" s="369">
        <v>1</v>
      </c>
      <c r="H33" s="333">
        <f t="shared" si="0"/>
        <v>0</v>
      </c>
    </row>
    <row r="34" spans="3:8" ht="16.5" customHeight="1" x14ac:dyDescent="0.25">
      <c r="C34" s="335" t="s">
        <v>301</v>
      </c>
      <c r="D34" s="336" t="s">
        <v>390</v>
      </c>
      <c r="E34" s="340"/>
      <c r="F34" s="339">
        <v>3</v>
      </c>
      <c r="G34" s="369">
        <v>1</v>
      </c>
      <c r="H34" s="333">
        <f t="shared" si="0"/>
        <v>2</v>
      </c>
    </row>
    <row r="35" spans="3:8" ht="16.5" customHeight="1" x14ac:dyDescent="0.25">
      <c r="C35" s="335" t="s">
        <v>302</v>
      </c>
      <c r="D35" s="336" t="s">
        <v>390</v>
      </c>
      <c r="E35" s="340"/>
      <c r="F35" s="339">
        <v>1</v>
      </c>
      <c r="G35" s="369">
        <v>0</v>
      </c>
      <c r="H35" s="333">
        <f t="shared" si="0"/>
        <v>1</v>
      </c>
    </row>
    <row r="36" spans="3:8" ht="16.5" customHeight="1" x14ac:dyDescent="0.25">
      <c r="C36" s="335" t="s">
        <v>303</v>
      </c>
      <c r="D36" s="336" t="s">
        <v>390</v>
      </c>
      <c r="E36" s="340"/>
      <c r="F36" s="339">
        <v>3</v>
      </c>
      <c r="G36" s="369">
        <v>0</v>
      </c>
      <c r="H36" s="333">
        <f t="shared" si="0"/>
        <v>3</v>
      </c>
    </row>
    <row r="37" spans="3:8" ht="16.5" customHeight="1" x14ac:dyDescent="0.25">
      <c r="C37" s="335" t="s">
        <v>304</v>
      </c>
      <c r="D37" s="336" t="s">
        <v>390</v>
      </c>
      <c r="E37" s="340"/>
      <c r="F37" s="339">
        <v>2</v>
      </c>
      <c r="G37" s="369">
        <v>1</v>
      </c>
      <c r="H37" s="333">
        <f t="shared" si="0"/>
        <v>1</v>
      </c>
    </row>
    <row r="38" spans="3:8" ht="16.5" customHeight="1" x14ac:dyDescent="0.25">
      <c r="C38" s="335" t="s">
        <v>305</v>
      </c>
      <c r="D38" s="336" t="s">
        <v>390</v>
      </c>
      <c r="E38" s="340"/>
      <c r="F38" s="339">
        <v>10</v>
      </c>
      <c r="G38" s="369">
        <v>5</v>
      </c>
      <c r="H38" s="333">
        <f t="shared" si="0"/>
        <v>5</v>
      </c>
    </row>
    <row r="39" spans="3:8" ht="16.5" customHeight="1" x14ac:dyDescent="0.25">
      <c r="C39" s="335" t="s">
        <v>306</v>
      </c>
      <c r="D39" s="336" t="s">
        <v>390</v>
      </c>
      <c r="E39" s="340"/>
      <c r="F39" s="339">
        <v>20</v>
      </c>
      <c r="G39" s="369">
        <v>10</v>
      </c>
      <c r="H39" s="333">
        <f t="shared" si="0"/>
        <v>10</v>
      </c>
    </row>
    <row r="40" spans="3:8" ht="16.5" customHeight="1" x14ac:dyDescent="0.25">
      <c r="C40" s="335" t="s">
        <v>307</v>
      </c>
      <c r="D40" s="336" t="s">
        <v>390</v>
      </c>
      <c r="E40" s="340"/>
      <c r="F40" s="339">
        <v>4</v>
      </c>
      <c r="G40" s="369">
        <v>0</v>
      </c>
      <c r="H40" s="333">
        <f t="shared" si="0"/>
        <v>4</v>
      </c>
    </row>
    <row r="41" spans="3:8" ht="16.5" customHeight="1" x14ac:dyDescent="0.25">
      <c r="C41" s="335" t="s">
        <v>308</v>
      </c>
      <c r="D41" s="336" t="s">
        <v>391</v>
      </c>
      <c r="E41" s="340"/>
      <c r="F41" s="339">
        <v>2</v>
      </c>
      <c r="G41" s="369">
        <v>0</v>
      </c>
      <c r="H41" s="333">
        <f t="shared" si="0"/>
        <v>2</v>
      </c>
    </row>
    <row r="42" spans="3:8" ht="16.5" customHeight="1" x14ac:dyDescent="0.25">
      <c r="C42" s="335" t="s">
        <v>309</v>
      </c>
      <c r="D42" s="336" t="s">
        <v>391</v>
      </c>
      <c r="E42" s="340"/>
      <c r="F42" s="339">
        <v>1</v>
      </c>
      <c r="G42" s="369">
        <v>0</v>
      </c>
      <c r="H42" s="333">
        <f t="shared" si="0"/>
        <v>1</v>
      </c>
    </row>
    <row r="43" spans="3:8" ht="16.5" customHeight="1" x14ac:dyDescent="0.25">
      <c r="C43" s="335" t="s">
        <v>310</v>
      </c>
      <c r="D43" s="336" t="s">
        <v>390</v>
      </c>
      <c r="E43" s="340"/>
      <c r="F43" s="339">
        <v>4</v>
      </c>
      <c r="G43" s="369">
        <v>0</v>
      </c>
      <c r="H43" s="333">
        <f t="shared" si="0"/>
        <v>4</v>
      </c>
    </row>
    <row r="44" spans="3:8" ht="16.5" customHeight="1" x14ac:dyDescent="0.25">
      <c r="C44" s="335" t="s">
        <v>311</v>
      </c>
      <c r="D44" s="336" t="s">
        <v>321</v>
      </c>
      <c r="E44" s="340"/>
      <c r="F44" s="339">
        <v>5</v>
      </c>
      <c r="G44" s="369">
        <v>0</v>
      </c>
      <c r="H44" s="333">
        <f t="shared" si="0"/>
        <v>5</v>
      </c>
    </row>
    <row r="45" spans="3:8" ht="16.5" customHeight="1" x14ac:dyDescent="0.25">
      <c r="C45" s="335" t="s">
        <v>312</v>
      </c>
      <c r="D45" s="336" t="s">
        <v>390</v>
      </c>
      <c r="E45" s="340"/>
      <c r="F45" s="339">
        <v>1</v>
      </c>
      <c r="G45" s="369">
        <v>0</v>
      </c>
      <c r="H45" s="333">
        <f t="shared" si="0"/>
        <v>1</v>
      </c>
    </row>
    <row r="46" spans="3:8" ht="16.5" customHeight="1" x14ac:dyDescent="0.25">
      <c r="C46" s="335" t="s">
        <v>314</v>
      </c>
      <c r="D46" s="336" t="s">
        <v>390</v>
      </c>
      <c r="E46" s="321"/>
      <c r="F46" s="339">
        <v>1</v>
      </c>
      <c r="G46" s="369">
        <v>0</v>
      </c>
      <c r="H46" s="333">
        <f t="shared" si="0"/>
        <v>1</v>
      </c>
    </row>
    <row r="47" spans="3:8" ht="16.5" customHeight="1" x14ac:dyDescent="0.25">
      <c r="C47" s="341" t="s">
        <v>146</v>
      </c>
      <c r="D47" s="342"/>
      <c r="E47" s="342"/>
      <c r="F47" s="332">
        <f>SUM(F9:F46)</f>
        <v>261</v>
      </c>
      <c r="G47" s="370">
        <f>SUM(G9:G46)</f>
        <v>46</v>
      </c>
      <c r="H47" s="332">
        <f>SUM(H9:H46)</f>
        <v>215</v>
      </c>
    </row>
    <row r="48" spans="3:8" ht="16.5" customHeight="1" x14ac:dyDescent="0.25">
      <c r="C48" s="343" t="s">
        <v>350</v>
      </c>
      <c r="D48" s="342">
        <v>42</v>
      </c>
      <c r="E48" s="342">
        <v>42</v>
      </c>
      <c r="F48" s="333"/>
      <c r="G48" s="369"/>
      <c r="H48" s="333"/>
    </row>
    <row r="49" spans="3:8" ht="16.5" customHeight="1" x14ac:dyDescent="0.25">
      <c r="C49" s="335" t="s">
        <v>315</v>
      </c>
      <c r="D49" s="340" t="s">
        <v>316</v>
      </c>
      <c r="E49" s="340"/>
      <c r="F49" s="339">
        <v>2</v>
      </c>
      <c r="G49" s="369">
        <v>2</v>
      </c>
      <c r="H49" s="333">
        <f t="shared" ref="H49:H81" si="1">F49-G49</f>
        <v>0</v>
      </c>
    </row>
    <row r="50" spans="3:8" ht="16.5" customHeight="1" x14ac:dyDescent="0.25">
      <c r="C50" s="335" t="s">
        <v>317</v>
      </c>
      <c r="D50" s="340" t="s">
        <v>316</v>
      </c>
      <c r="E50" s="340"/>
      <c r="F50" s="339">
        <v>1</v>
      </c>
      <c r="G50" s="369">
        <v>0</v>
      </c>
      <c r="H50" s="333">
        <f t="shared" si="1"/>
        <v>1</v>
      </c>
    </row>
    <row r="51" spans="3:8" ht="16.5" customHeight="1" x14ac:dyDescent="0.25">
      <c r="C51" s="335" t="s">
        <v>318</v>
      </c>
      <c r="D51" s="340" t="s">
        <v>316</v>
      </c>
      <c r="E51" s="340"/>
      <c r="F51" s="339">
        <v>1</v>
      </c>
      <c r="G51" s="369">
        <v>0</v>
      </c>
      <c r="H51" s="333">
        <f t="shared" si="1"/>
        <v>1</v>
      </c>
    </row>
    <row r="52" spans="3:8" ht="16.5" customHeight="1" x14ac:dyDescent="0.25">
      <c r="C52" s="335" t="s">
        <v>319</v>
      </c>
      <c r="D52" s="340" t="s">
        <v>316</v>
      </c>
      <c r="E52" s="340"/>
      <c r="F52" s="339">
        <v>1</v>
      </c>
      <c r="G52" s="369">
        <v>1</v>
      </c>
      <c r="H52" s="333">
        <f t="shared" si="1"/>
        <v>0</v>
      </c>
    </row>
    <row r="53" spans="3:8" ht="16.5" customHeight="1" x14ac:dyDescent="0.25">
      <c r="C53" s="335" t="s">
        <v>320</v>
      </c>
      <c r="D53" s="340" t="s">
        <v>321</v>
      </c>
      <c r="E53" s="340"/>
      <c r="F53" s="339">
        <v>18</v>
      </c>
      <c r="G53" s="369">
        <v>18</v>
      </c>
      <c r="H53" s="333">
        <f t="shared" si="1"/>
        <v>0</v>
      </c>
    </row>
    <row r="54" spans="3:8" ht="16.5" customHeight="1" x14ac:dyDescent="0.25">
      <c r="C54" s="335" t="s">
        <v>322</v>
      </c>
      <c r="D54" s="340" t="s">
        <v>321</v>
      </c>
      <c r="E54" s="340"/>
      <c r="F54" s="339">
        <v>10</v>
      </c>
      <c r="G54" s="369">
        <v>5</v>
      </c>
      <c r="H54" s="333">
        <f t="shared" si="1"/>
        <v>5</v>
      </c>
    </row>
    <row r="55" spans="3:8" ht="16.5" customHeight="1" x14ac:dyDescent="0.25">
      <c r="C55" s="335" t="s">
        <v>323</v>
      </c>
      <c r="D55" s="340" t="s">
        <v>316</v>
      </c>
      <c r="E55" s="340"/>
      <c r="F55" s="339">
        <v>1</v>
      </c>
      <c r="G55" s="369">
        <v>1</v>
      </c>
      <c r="H55" s="333">
        <f t="shared" si="1"/>
        <v>0</v>
      </c>
    </row>
    <row r="56" spans="3:8" ht="16.5" customHeight="1" x14ac:dyDescent="0.25">
      <c r="C56" s="335" t="s">
        <v>324</v>
      </c>
      <c r="D56" s="340" t="s">
        <v>316</v>
      </c>
      <c r="E56" s="340"/>
      <c r="F56" s="339">
        <v>12</v>
      </c>
      <c r="G56" s="369">
        <v>12</v>
      </c>
      <c r="H56" s="333">
        <f t="shared" si="1"/>
        <v>0</v>
      </c>
    </row>
    <row r="57" spans="3:8" ht="16.5" customHeight="1" x14ac:dyDescent="0.25">
      <c r="C57" s="335" t="s">
        <v>325</v>
      </c>
      <c r="D57" s="340" t="s">
        <v>316</v>
      </c>
      <c r="E57" s="340"/>
      <c r="F57" s="339">
        <v>1</v>
      </c>
      <c r="G57" s="369">
        <v>1</v>
      </c>
      <c r="H57" s="333">
        <f t="shared" si="1"/>
        <v>0</v>
      </c>
    </row>
    <row r="58" spans="3:8" ht="16.5" customHeight="1" x14ac:dyDescent="0.25">
      <c r="C58" s="335" t="s">
        <v>326</v>
      </c>
      <c r="D58" s="340" t="s">
        <v>316</v>
      </c>
      <c r="E58" s="340"/>
      <c r="F58" s="339">
        <v>2</v>
      </c>
      <c r="G58" s="369">
        <v>2</v>
      </c>
      <c r="H58" s="333">
        <f t="shared" si="1"/>
        <v>0</v>
      </c>
    </row>
    <row r="59" spans="3:8" ht="16.5" customHeight="1" x14ac:dyDescent="0.25">
      <c r="C59" s="335" t="s">
        <v>327</v>
      </c>
      <c r="D59" s="340" t="s">
        <v>316</v>
      </c>
      <c r="E59" s="340"/>
      <c r="F59" s="339">
        <v>5</v>
      </c>
      <c r="G59" s="369">
        <v>5</v>
      </c>
      <c r="H59" s="333">
        <f t="shared" si="1"/>
        <v>0</v>
      </c>
    </row>
    <row r="60" spans="3:8" ht="16.5" customHeight="1" x14ac:dyDescent="0.25">
      <c r="C60" s="335" t="s">
        <v>328</v>
      </c>
      <c r="D60" s="340" t="s">
        <v>316</v>
      </c>
      <c r="E60" s="340"/>
      <c r="F60" s="339">
        <v>1</v>
      </c>
      <c r="G60" s="369">
        <v>0</v>
      </c>
      <c r="H60" s="333">
        <f t="shared" si="1"/>
        <v>1</v>
      </c>
    </row>
    <row r="61" spans="3:8" ht="16.5" customHeight="1" x14ac:dyDescent="0.25">
      <c r="C61" s="335" t="s">
        <v>329</v>
      </c>
      <c r="D61" s="340" t="s">
        <v>316</v>
      </c>
      <c r="E61" s="340"/>
      <c r="F61" s="339">
        <v>2</v>
      </c>
      <c r="G61" s="369">
        <v>2</v>
      </c>
      <c r="H61" s="333">
        <f t="shared" si="1"/>
        <v>0</v>
      </c>
    </row>
    <row r="62" spans="3:8" ht="16.5" customHeight="1" x14ac:dyDescent="0.25">
      <c r="C62" s="335" t="s">
        <v>330</v>
      </c>
      <c r="D62" s="340" t="s">
        <v>316</v>
      </c>
      <c r="E62" s="340"/>
      <c r="F62" s="339">
        <v>1</v>
      </c>
      <c r="G62" s="369">
        <v>1</v>
      </c>
      <c r="H62" s="333">
        <f t="shared" si="1"/>
        <v>0</v>
      </c>
    </row>
    <row r="63" spans="3:8" ht="16.5" customHeight="1" x14ac:dyDescent="0.25">
      <c r="C63" s="335" t="s">
        <v>331</v>
      </c>
      <c r="D63" s="340" t="s">
        <v>316</v>
      </c>
      <c r="E63" s="340"/>
      <c r="F63" s="339">
        <v>1</v>
      </c>
      <c r="G63" s="369">
        <v>1</v>
      </c>
      <c r="H63" s="333">
        <f t="shared" si="1"/>
        <v>0</v>
      </c>
    </row>
    <row r="64" spans="3:8" ht="16.5" customHeight="1" x14ac:dyDescent="0.25">
      <c r="C64" s="335" t="s">
        <v>332</v>
      </c>
      <c r="D64" s="340" t="s">
        <v>316</v>
      </c>
      <c r="E64" s="340"/>
      <c r="F64" s="339">
        <v>1</v>
      </c>
      <c r="G64" s="369">
        <v>1</v>
      </c>
      <c r="H64" s="333">
        <f t="shared" si="1"/>
        <v>0</v>
      </c>
    </row>
    <row r="65" spans="3:8" ht="16.5" customHeight="1" x14ac:dyDescent="0.25">
      <c r="C65" s="335" t="s">
        <v>333</v>
      </c>
      <c r="D65" s="340" t="s">
        <v>316</v>
      </c>
      <c r="E65" s="340"/>
      <c r="F65" s="339">
        <v>2</v>
      </c>
      <c r="G65" s="369">
        <v>1</v>
      </c>
      <c r="H65" s="333">
        <f t="shared" si="1"/>
        <v>1</v>
      </c>
    </row>
    <row r="66" spans="3:8" ht="16.5" customHeight="1" x14ac:dyDescent="0.25">
      <c r="C66" s="335" t="s">
        <v>334</v>
      </c>
      <c r="D66" s="340" t="s">
        <v>316</v>
      </c>
      <c r="E66" s="340"/>
      <c r="F66" s="339">
        <v>1</v>
      </c>
      <c r="G66" s="369">
        <v>1</v>
      </c>
      <c r="H66" s="333">
        <f t="shared" si="1"/>
        <v>0</v>
      </c>
    </row>
    <row r="67" spans="3:8" ht="16.5" customHeight="1" x14ac:dyDescent="0.25">
      <c r="C67" s="335" t="s">
        <v>335</v>
      </c>
      <c r="D67" s="340" t="s">
        <v>316</v>
      </c>
      <c r="E67" s="340"/>
      <c r="F67" s="339">
        <v>1</v>
      </c>
      <c r="G67" s="369">
        <v>1</v>
      </c>
      <c r="H67" s="333">
        <f t="shared" si="1"/>
        <v>0</v>
      </c>
    </row>
    <row r="68" spans="3:8" ht="16.5" customHeight="1" x14ac:dyDescent="0.25">
      <c r="C68" s="335" t="s">
        <v>336</v>
      </c>
      <c r="D68" s="340" t="s">
        <v>316</v>
      </c>
      <c r="E68" s="340"/>
      <c r="F68" s="339">
        <v>2</v>
      </c>
      <c r="G68" s="369">
        <v>2</v>
      </c>
      <c r="H68" s="333">
        <f t="shared" si="1"/>
        <v>0</v>
      </c>
    </row>
    <row r="69" spans="3:8" ht="16.5" customHeight="1" x14ac:dyDescent="0.25">
      <c r="C69" s="335" t="s">
        <v>337</v>
      </c>
      <c r="D69" s="340" t="s">
        <v>316</v>
      </c>
      <c r="E69" s="340"/>
      <c r="F69" s="339">
        <v>2</v>
      </c>
      <c r="G69" s="369">
        <v>2</v>
      </c>
      <c r="H69" s="333">
        <f t="shared" si="1"/>
        <v>0</v>
      </c>
    </row>
    <row r="70" spans="3:8" ht="16.5" customHeight="1" x14ac:dyDescent="0.25">
      <c r="C70" s="335" t="s">
        <v>338</v>
      </c>
      <c r="D70" s="340" t="s">
        <v>316</v>
      </c>
      <c r="E70" s="340"/>
      <c r="F70" s="339">
        <v>2</v>
      </c>
      <c r="G70" s="369">
        <v>2</v>
      </c>
      <c r="H70" s="333">
        <f t="shared" si="1"/>
        <v>0</v>
      </c>
    </row>
    <row r="71" spans="3:8" ht="16.5" customHeight="1" x14ac:dyDescent="0.25">
      <c r="C71" s="335" t="s">
        <v>339</v>
      </c>
      <c r="D71" s="340" t="s">
        <v>316</v>
      </c>
      <c r="E71" s="340"/>
      <c r="F71" s="339">
        <v>2</v>
      </c>
      <c r="G71" s="369">
        <v>2</v>
      </c>
      <c r="H71" s="333">
        <f t="shared" si="1"/>
        <v>0</v>
      </c>
    </row>
    <row r="72" spans="3:8" ht="16.5" customHeight="1" x14ac:dyDescent="0.25">
      <c r="C72" s="335" t="s">
        <v>340</v>
      </c>
      <c r="D72" s="340" t="s">
        <v>316</v>
      </c>
      <c r="E72" s="340"/>
      <c r="F72" s="339">
        <v>1</v>
      </c>
      <c r="G72" s="369">
        <v>1</v>
      </c>
      <c r="H72" s="333">
        <f t="shared" si="1"/>
        <v>0</v>
      </c>
    </row>
    <row r="73" spans="3:8" ht="16.5" customHeight="1" x14ac:dyDescent="0.25">
      <c r="C73" s="335" t="s">
        <v>341</v>
      </c>
      <c r="D73" s="340" t="s">
        <v>316</v>
      </c>
      <c r="E73" s="340"/>
      <c r="F73" s="339">
        <v>1</v>
      </c>
      <c r="G73" s="369">
        <v>1</v>
      </c>
      <c r="H73" s="333">
        <f t="shared" si="1"/>
        <v>0</v>
      </c>
    </row>
    <row r="74" spans="3:8" ht="16.5" customHeight="1" x14ac:dyDescent="0.25">
      <c r="C74" s="335" t="s">
        <v>342</v>
      </c>
      <c r="D74" s="340" t="s">
        <v>316</v>
      </c>
      <c r="E74" s="340"/>
      <c r="F74" s="339">
        <v>1</v>
      </c>
      <c r="G74" s="369">
        <v>1</v>
      </c>
      <c r="H74" s="333">
        <f t="shared" si="1"/>
        <v>0</v>
      </c>
    </row>
    <row r="75" spans="3:8" ht="16.5" customHeight="1" x14ac:dyDescent="0.25">
      <c r="C75" s="335" t="s">
        <v>343</v>
      </c>
      <c r="D75" s="340" t="s">
        <v>316</v>
      </c>
      <c r="E75" s="340"/>
      <c r="F75" s="339">
        <v>1</v>
      </c>
      <c r="G75" s="369">
        <v>0</v>
      </c>
      <c r="H75" s="333">
        <f t="shared" si="1"/>
        <v>1</v>
      </c>
    </row>
    <row r="76" spans="3:8" ht="16.5" customHeight="1" x14ac:dyDescent="0.25">
      <c r="C76" s="335" t="s">
        <v>344</v>
      </c>
      <c r="D76" s="340" t="s">
        <v>316</v>
      </c>
      <c r="E76" s="340"/>
      <c r="F76" s="339">
        <v>2</v>
      </c>
      <c r="G76" s="369">
        <v>1</v>
      </c>
      <c r="H76" s="333">
        <f t="shared" si="1"/>
        <v>1</v>
      </c>
    </row>
    <row r="77" spans="3:8" ht="16.5" customHeight="1" x14ac:dyDescent="0.25">
      <c r="C77" s="335" t="s">
        <v>345</v>
      </c>
      <c r="D77" s="340" t="s">
        <v>316</v>
      </c>
      <c r="E77" s="340"/>
      <c r="F77" s="339">
        <v>2</v>
      </c>
      <c r="G77" s="369">
        <v>0</v>
      </c>
      <c r="H77" s="333">
        <f t="shared" si="1"/>
        <v>2</v>
      </c>
    </row>
    <row r="78" spans="3:8" ht="16.5" customHeight="1" x14ac:dyDescent="0.25">
      <c r="C78" s="335" t="s">
        <v>346</v>
      </c>
      <c r="D78" s="340" t="s">
        <v>316</v>
      </c>
      <c r="E78" s="340"/>
      <c r="F78" s="339">
        <v>2</v>
      </c>
      <c r="G78" s="369">
        <v>1</v>
      </c>
      <c r="H78" s="333">
        <f t="shared" si="1"/>
        <v>1</v>
      </c>
    </row>
    <row r="79" spans="3:8" ht="16.5" customHeight="1" x14ac:dyDescent="0.25">
      <c r="C79" s="335" t="s">
        <v>347</v>
      </c>
      <c r="D79" s="340" t="s">
        <v>316</v>
      </c>
      <c r="E79" s="340"/>
      <c r="F79" s="339">
        <v>1</v>
      </c>
      <c r="G79" s="369">
        <v>1</v>
      </c>
      <c r="H79" s="333">
        <f t="shared" si="1"/>
        <v>0</v>
      </c>
    </row>
    <row r="80" spans="3:8" ht="16.5" customHeight="1" x14ac:dyDescent="0.25">
      <c r="C80" s="335" t="s">
        <v>348</v>
      </c>
      <c r="D80" s="340" t="s">
        <v>316</v>
      </c>
      <c r="E80" s="340"/>
      <c r="F80" s="339">
        <v>1</v>
      </c>
      <c r="G80" s="369">
        <v>1</v>
      </c>
      <c r="H80" s="333">
        <f t="shared" si="1"/>
        <v>0</v>
      </c>
    </row>
    <row r="81" spans="3:8" ht="16.5" customHeight="1" x14ac:dyDescent="0.25">
      <c r="C81" s="335" t="s">
        <v>349</v>
      </c>
      <c r="D81" s="340" t="s">
        <v>316</v>
      </c>
      <c r="E81" s="340"/>
      <c r="F81" s="339">
        <v>4</v>
      </c>
      <c r="G81" s="369">
        <v>2</v>
      </c>
      <c r="H81" s="333">
        <f t="shared" si="1"/>
        <v>2</v>
      </c>
    </row>
    <row r="82" spans="3:8" s="271" customFormat="1" x14ac:dyDescent="0.25">
      <c r="C82" s="341" t="s">
        <v>146</v>
      </c>
      <c r="D82" s="344"/>
      <c r="E82" s="344"/>
      <c r="F82" s="344">
        <f>SUM(F49:F81)</f>
        <v>88</v>
      </c>
      <c r="G82" s="370">
        <f>SUM(G49:G81)</f>
        <v>72</v>
      </c>
      <c r="H82" s="332">
        <f>SUM(H49:H81)</f>
        <v>16</v>
      </c>
    </row>
    <row r="83" spans="3:8" x14ac:dyDescent="0.25">
      <c r="C83" s="345" t="s">
        <v>274</v>
      </c>
      <c r="D83" s="332">
        <v>80</v>
      </c>
      <c r="E83" s="332">
        <v>80</v>
      </c>
      <c r="F83" s="346"/>
      <c r="G83" s="371"/>
      <c r="H83" s="346"/>
    </row>
    <row r="84" spans="3:8" ht="15" customHeight="1" x14ac:dyDescent="0.25">
      <c r="C84" s="335" t="s">
        <v>371</v>
      </c>
      <c r="D84" s="348" t="s">
        <v>389</v>
      </c>
      <c r="E84" s="349"/>
      <c r="F84" s="350">
        <v>4</v>
      </c>
      <c r="G84" s="372">
        <v>0</v>
      </c>
      <c r="H84" s="333">
        <f t="shared" ref="H84:H101" si="2">F84-G84</f>
        <v>4</v>
      </c>
    </row>
    <row r="85" spans="3:8" ht="14.25" customHeight="1" x14ac:dyDescent="0.25">
      <c r="C85" s="335" t="s">
        <v>372</v>
      </c>
      <c r="D85" s="348" t="s">
        <v>389</v>
      </c>
      <c r="E85" s="349"/>
      <c r="F85" s="350">
        <v>8</v>
      </c>
      <c r="G85" s="372">
        <v>2</v>
      </c>
      <c r="H85" s="333">
        <f t="shared" si="2"/>
        <v>6</v>
      </c>
    </row>
    <row r="86" spans="3:8" ht="14.25" customHeight="1" x14ac:dyDescent="0.25">
      <c r="C86" s="335" t="s">
        <v>373</v>
      </c>
      <c r="D86" s="348" t="s">
        <v>392</v>
      </c>
      <c r="E86" s="349"/>
      <c r="F86" s="350">
        <v>1</v>
      </c>
      <c r="G86" s="372">
        <v>1</v>
      </c>
      <c r="H86" s="333">
        <f t="shared" si="2"/>
        <v>0</v>
      </c>
    </row>
    <row r="87" spans="3:8" ht="14.25" customHeight="1" x14ac:dyDescent="0.25">
      <c r="C87" s="335" t="s">
        <v>374</v>
      </c>
      <c r="D87" s="348" t="s">
        <v>392</v>
      </c>
      <c r="E87" s="349"/>
      <c r="F87" s="350">
        <v>1</v>
      </c>
      <c r="G87" s="372">
        <v>0</v>
      </c>
      <c r="H87" s="333">
        <f t="shared" si="2"/>
        <v>1</v>
      </c>
    </row>
    <row r="88" spans="3:8" ht="14.25" customHeight="1" x14ac:dyDescent="0.25">
      <c r="C88" s="335" t="s">
        <v>375</v>
      </c>
      <c r="D88" s="348" t="s">
        <v>389</v>
      </c>
      <c r="E88" s="349"/>
      <c r="F88" s="350">
        <v>8</v>
      </c>
      <c r="G88" s="372">
        <v>2</v>
      </c>
      <c r="H88" s="333">
        <f t="shared" si="2"/>
        <v>6</v>
      </c>
    </row>
    <row r="89" spans="3:8" ht="14.25" customHeight="1" x14ac:dyDescent="0.25">
      <c r="C89" s="335" t="s">
        <v>376</v>
      </c>
      <c r="D89" s="348" t="s">
        <v>392</v>
      </c>
      <c r="E89" s="349"/>
      <c r="F89" s="350">
        <v>1</v>
      </c>
      <c r="G89" s="372">
        <v>1</v>
      </c>
      <c r="H89" s="333">
        <f t="shared" si="2"/>
        <v>0</v>
      </c>
    </row>
    <row r="90" spans="3:8" ht="14.25" customHeight="1" x14ac:dyDescent="0.25">
      <c r="C90" s="335" t="s">
        <v>377</v>
      </c>
      <c r="D90" s="348" t="s">
        <v>393</v>
      </c>
      <c r="E90" s="349"/>
      <c r="F90" s="350">
        <v>20</v>
      </c>
      <c r="G90" s="372">
        <v>10</v>
      </c>
      <c r="H90" s="333">
        <f t="shared" si="2"/>
        <v>10</v>
      </c>
    </row>
    <row r="91" spans="3:8" ht="14.25" customHeight="1" x14ac:dyDescent="0.25">
      <c r="C91" s="335" t="s">
        <v>378</v>
      </c>
      <c r="D91" s="348" t="s">
        <v>389</v>
      </c>
      <c r="E91" s="349"/>
      <c r="F91" s="350">
        <v>2</v>
      </c>
      <c r="G91" s="372">
        <v>2</v>
      </c>
      <c r="H91" s="333">
        <f t="shared" si="2"/>
        <v>0</v>
      </c>
    </row>
    <row r="92" spans="3:8" ht="14.25" customHeight="1" x14ac:dyDescent="0.25">
      <c r="C92" s="335" t="s">
        <v>379</v>
      </c>
      <c r="D92" s="348" t="s">
        <v>392</v>
      </c>
      <c r="E92" s="349"/>
      <c r="F92" s="350">
        <v>1</v>
      </c>
      <c r="G92" s="372">
        <v>1</v>
      </c>
      <c r="H92" s="333">
        <f t="shared" si="2"/>
        <v>0</v>
      </c>
    </row>
    <row r="93" spans="3:8" ht="14.25" customHeight="1" x14ac:dyDescent="0.25">
      <c r="C93" s="335" t="s">
        <v>380</v>
      </c>
      <c r="D93" s="348" t="s">
        <v>392</v>
      </c>
      <c r="E93" s="349"/>
      <c r="F93" s="350">
        <v>1</v>
      </c>
      <c r="G93" s="372">
        <v>1</v>
      </c>
      <c r="H93" s="333">
        <f t="shared" si="2"/>
        <v>0</v>
      </c>
    </row>
    <row r="94" spans="3:8" ht="14.25" customHeight="1" x14ac:dyDescent="0.25">
      <c r="C94" s="335" t="s">
        <v>381</v>
      </c>
      <c r="D94" s="348" t="s">
        <v>394</v>
      </c>
      <c r="E94" s="349"/>
      <c r="F94" s="350">
        <v>1</v>
      </c>
      <c r="G94" s="372">
        <v>0</v>
      </c>
      <c r="H94" s="333">
        <f t="shared" si="2"/>
        <v>1</v>
      </c>
    </row>
    <row r="95" spans="3:8" ht="14.25" customHeight="1" x14ac:dyDescent="0.25">
      <c r="C95" s="335" t="s">
        <v>382</v>
      </c>
      <c r="D95" s="348" t="s">
        <v>392</v>
      </c>
      <c r="E95" s="349"/>
      <c r="F95" s="350">
        <v>3</v>
      </c>
      <c r="G95" s="372">
        <v>2</v>
      </c>
      <c r="H95" s="333">
        <f t="shared" si="2"/>
        <v>1</v>
      </c>
    </row>
    <row r="96" spans="3:8" ht="14.25" customHeight="1" x14ac:dyDescent="0.25">
      <c r="C96" s="335" t="s">
        <v>383</v>
      </c>
      <c r="D96" s="348" t="s">
        <v>392</v>
      </c>
      <c r="E96" s="349"/>
      <c r="F96" s="350">
        <v>8</v>
      </c>
      <c r="G96" s="372">
        <v>4</v>
      </c>
      <c r="H96" s="333">
        <f t="shared" si="2"/>
        <v>4</v>
      </c>
    </row>
    <row r="97" spans="3:8" ht="14.25" customHeight="1" x14ac:dyDescent="0.25">
      <c r="C97" s="335" t="s">
        <v>384</v>
      </c>
      <c r="D97" s="348" t="s">
        <v>392</v>
      </c>
      <c r="E97" s="349"/>
      <c r="F97" s="350">
        <v>1</v>
      </c>
      <c r="G97" s="372">
        <v>0</v>
      </c>
      <c r="H97" s="333">
        <f t="shared" si="2"/>
        <v>1</v>
      </c>
    </row>
    <row r="98" spans="3:8" ht="14.25" customHeight="1" x14ac:dyDescent="0.25">
      <c r="C98" s="335" t="s">
        <v>385</v>
      </c>
      <c r="D98" s="348" t="s">
        <v>392</v>
      </c>
      <c r="E98" s="349"/>
      <c r="F98" s="350">
        <v>1</v>
      </c>
      <c r="G98" s="372">
        <v>0</v>
      </c>
      <c r="H98" s="333">
        <f t="shared" si="2"/>
        <v>1</v>
      </c>
    </row>
    <row r="99" spans="3:8" ht="14.25" customHeight="1" x14ac:dyDescent="0.25">
      <c r="C99" s="335" t="s">
        <v>386</v>
      </c>
      <c r="D99" s="348" t="s">
        <v>392</v>
      </c>
      <c r="E99" s="349"/>
      <c r="F99" s="350">
        <v>4</v>
      </c>
      <c r="G99" s="372">
        <v>2</v>
      </c>
      <c r="H99" s="333">
        <f t="shared" si="2"/>
        <v>2</v>
      </c>
    </row>
    <row r="100" spans="3:8" ht="14.25" customHeight="1" x14ac:dyDescent="0.25">
      <c r="C100" s="335" t="s">
        <v>387</v>
      </c>
      <c r="D100" s="348" t="s">
        <v>392</v>
      </c>
      <c r="E100" s="349"/>
      <c r="F100" s="350">
        <v>4</v>
      </c>
      <c r="G100" s="372">
        <v>2</v>
      </c>
      <c r="H100" s="333">
        <f t="shared" si="2"/>
        <v>2</v>
      </c>
    </row>
    <row r="101" spans="3:8" ht="14.25" customHeight="1" x14ac:dyDescent="0.25">
      <c r="C101" s="335" t="s">
        <v>388</v>
      </c>
      <c r="D101" s="348" t="s">
        <v>392</v>
      </c>
      <c r="E101" s="349"/>
      <c r="F101" s="350">
        <v>3</v>
      </c>
      <c r="G101" s="372">
        <v>3</v>
      </c>
      <c r="H101" s="333">
        <f t="shared" si="2"/>
        <v>0</v>
      </c>
    </row>
    <row r="102" spans="3:8" s="271" customFormat="1" ht="14.25" customHeight="1" x14ac:dyDescent="0.25">
      <c r="C102" s="351" t="s">
        <v>146</v>
      </c>
      <c r="D102" s="352"/>
      <c r="E102" s="353"/>
      <c r="F102" s="354">
        <f>SUM(F89:F101)</f>
        <v>50</v>
      </c>
      <c r="G102" s="373">
        <f>SUM(G89:G101)</f>
        <v>28</v>
      </c>
      <c r="H102" s="355">
        <f>SUM(H89:H101)</f>
        <v>22</v>
      </c>
    </row>
    <row r="103" spans="3:8" ht="18" customHeight="1" x14ac:dyDescent="0.25">
      <c r="C103" s="356" t="s">
        <v>351</v>
      </c>
      <c r="D103" s="353">
        <v>35</v>
      </c>
      <c r="E103" s="353">
        <v>35</v>
      </c>
      <c r="F103" s="346"/>
      <c r="G103" s="371"/>
      <c r="H103" s="346"/>
    </row>
    <row r="104" spans="3:8" ht="18" customHeight="1" x14ac:dyDescent="0.25">
      <c r="C104" s="335" t="s">
        <v>352</v>
      </c>
      <c r="D104" s="357" t="s">
        <v>42</v>
      </c>
      <c r="E104" s="358"/>
      <c r="F104" s="347">
        <v>25</v>
      </c>
      <c r="G104" s="371">
        <v>25</v>
      </c>
      <c r="H104" s="333">
        <f t="shared" ref="H104:H132" si="3">F104-G104</f>
        <v>0</v>
      </c>
    </row>
    <row r="105" spans="3:8" ht="18" customHeight="1" x14ac:dyDescent="0.25">
      <c r="C105" s="335" t="s">
        <v>353</v>
      </c>
      <c r="D105" s="357" t="s">
        <v>42</v>
      </c>
      <c r="E105" s="358"/>
      <c r="F105" s="347">
        <v>25</v>
      </c>
      <c r="G105" s="371">
        <v>25</v>
      </c>
      <c r="H105" s="333">
        <f t="shared" si="3"/>
        <v>0</v>
      </c>
    </row>
    <row r="106" spans="3:8" ht="18" customHeight="1" x14ac:dyDescent="0.25">
      <c r="C106" s="335" t="s">
        <v>354</v>
      </c>
      <c r="D106" s="357" t="s">
        <v>42</v>
      </c>
      <c r="E106" s="358"/>
      <c r="F106" s="347">
        <v>25</v>
      </c>
      <c r="G106" s="371">
        <v>25</v>
      </c>
      <c r="H106" s="333">
        <f t="shared" si="3"/>
        <v>0</v>
      </c>
    </row>
    <row r="107" spans="3:8" ht="40.5" customHeight="1" x14ac:dyDescent="0.25">
      <c r="C107" s="335" t="s">
        <v>355</v>
      </c>
      <c r="D107" s="359" t="s">
        <v>316</v>
      </c>
      <c r="E107" s="358"/>
      <c r="F107" s="334">
        <v>1</v>
      </c>
      <c r="G107" s="371">
        <v>0</v>
      </c>
      <c r="H107" s="334">
        <f t="shared" si="3"/>
        <v>1</v>
      </c>
    </row>
    <row r="108" spans="3:8" ht="18" customHeight="1" x14ac:dyDescent="0.25">
      <c r="C108" s="335" t="s">
        <v>356</v>
      </c>
      <c r="D108" s="359" t="s">
        <v>316</v>
      </c>
      <c r="E108" s="358"/>
      <c r="F108" s="334">
        <v>1</v>
      </c>
      <c r="G108" s="371">
        <v>0</v>
      </c>
      <c r="H108" s="333">
        <f t="shared" si="3"/>
        <v>1</v>
      </c>
    </row>
    <row r="109" spans="3:8" ht="18" customHeight="1" x14ac:dyDescent="0.25">
      <c r="C109" s="335" t="s">
        <v>357</v>
      </c>
      <c r="D109" s="359" t="s">
        <v>316</v>
      </c>
      <c r="E109" s="358"/>
      <c r="F109" s="334">
        <v>2</v>
      </c>
      <c r="G109" s="371">
        <v>0</v>
      </c>
      <c r="H109" s="333">
        <f t="shared" si="3"/>
        <v>2</v>
      </c>
    </row>
    <row r="110" spans="3:8" ht="18" customHeight="1" x14ac:dyDescent="0.25">
      <c r="C110" s="335" t="s">
        <v>358</v>
      </c>
      <c r="D110" s="359" t="s">
        <v>316</v>
      </c>
      <c r="E110" s="358"/>
      <c r="F110" s="334">
        <v>4</v>
      </c>
      <c r="G110" s="371">
        <v>2</v>
      </c>
      <c r="H110" s="333">
        <f t="shared" si="3"/>
        <v>2</v>
      </c>
    </row>
    <row r="111" spans="3:8" ht="18" customHeight="1" x14ac:dyDescent="0.25">
      <c r="C111" s="335" t="s">
        <v>359</v>
      </c>
      <c r="D111" s="360" t="s">
        <v>26</v>
      </c>
      <c r="E111" s="358"/>
      <c r="F111" s="334">
        <v>1</v>
      </c>
      <c r="G111" s="371">
        <v>1</v>
      </c>
      <c r="H111" s="333">
        <f t="shared" si="3"/>
        <v>0</v>
      </c>
    </row>
    <row r="112" spans="3:8" ht="18" customHeight="1" x14ac:dyDescent="0.25">
      <c r="C112" s="335" t="s">
        <v>70</v>
      </c>
      <c r="D112" s="359" t="s">
        <v>316</v>
      </c>
      <c r="E112" s="358"/>
      <c r="F112" s="334">
        <v>2</v>
      </c>
      <c r="G112" s="371">
        <v>1</v>
      </c>
      <c r="H112" s="333">
        <f t="shared" si="3"/>
        <v>1</v>
      </c>
    </row>
    <row r="113" spans="3:8" ht="18" customHeight="1" x14ac:dyDescent="0.25">
      <c r="C113" s="335" t="s">
        <v>96</v>
      </c>
      <c r="D113" s="360" t="s">
        <v>26</v>
      </c>
      <c r="E113" s="358"/>
      <c r="F113" s="334">
        <v>2</v>
      </c>
      <c r="G113" s="371">
        <v>0</v>
      </c>
      <c r="H113" s="333">
        <f t="shared" si="3"/>
        <v>2</v>
      </c>
    </row>
    <row r="114" spans="3:8" ht="18" customHeight="1" x14ac:dyDescent="0.25">
      <c r="C114" s="335" t="s">
        <v>360</v>
      </c>
      <c r="D114" s="360" t="s">
        <v>42</v>
      </c>
      <c r="E114" s="358"/>
      <c r="F114" s="334">
        <v>5</v>
      </c>
      <c r="G114" s="371">
        <v>0</v>
      </c>
      <c r="H114" s="333">
        <f t="shared" si="3"/>
        <v>5</v>
      </c>
    </row>
    <row r="115" spans="3:8" ht="18" customHeight="1" x14ac:dyDescent="0.25">
      <c r="C115" s="335" t="s">
        <v>72</v>
      </c>
      <c r="D115" s="359" t="s">
        <v>316</v>
      </c>
      <c r="E115" s="358"/>
      <c r="F115" s="334">
        <v>2</v>
      </c>
      <c r="G115" s="371">
        <v>0</v>
      </c>
      <c r="H115" s="333">
        <f t="shared" si="3"/>
        <v>2</v>
      </c>
    </row>
    <row r="116" spans="3:8" ht="18" customHeight="1" x14ac:dyDescent="0.25">
      <c r="C116" s="335" t="s">
        <v>361</v>
      </c>
      <c r="D116" s="360" t="s">
        <v>26</v>
      </c>
      <c r="E116" s="358"/>
      <c r="F116" s="334">
        <v>4</v>
      </c>
      <c r="G116" s="371">
        <v>0</v>
      </c>
      <c r="H116" s="333">
        <f t="shared" si="3"/>
        <v>4</v>
      </c>
    </row>
    <row r="117" spans="3:8" ht="18" customHeight="1" x14ac:dyDescent="0.25">
      <c r="C117" s="335" t="s">
        <v>362</v>
      </c>
      <c r="D117" s="360" t="s">
        <v>42</v>
      </c>
      <c r="E117" s="358"/>
      <c r="F117" s="334">
        <v>16</v>
      </c>
      <c r="G117" s="371">
        <v>4</v>
      </c>
      <c r="H117" s="333">
        <f t="shared" si="3"/>
        <v>12</v>
      </c>
    </row>
    <row r="118" spans="3:8" ht="18" customHeight="1" x14ac:dyDescent="0.25">
      <c r="C118" s="335" t="s">
        <v>276</v>
      </c>
      <c r="D118" s="359" t="s">
        <v>316</v>
      </c>
      <c r="E118" s="358"/>
      <c r="F118" s="334">
        <v>6</v>
      </c>
      <c r="G118" s="371">
        <v>0</v>
      </c>
      <c r="H118" s="333">
        <f t="shared" si="3"/>
        <v>6</v>
      </c>
    </row>
    <row r="119" spans="3:8" ht="18" customHeight="1" x14ac:dyDescent="0.25">
      <c r="C119" s="335" t="s">
        <v>363</v>
      </c>
      <c r="D119" s="360" t="s">
        <v>26</v>
      </c>
      <c r="E119" s="358"/>
      <c r="F119" s="334">
        <v>2</v>
      </c>
      <c r="G119" s="371">
        <v>0</v>
      </c>
      <c r="H119" s="333">
        <f t="shared" si="3"/>
        <v>2</v>
      </c>
    </row>
    <row r="120" spans="3:8" ht="18" customHeight="1" x14ac:dyDescent="0.25">
      <c r="C120" s="335" t="s">
        <v>364</v>
      </c>
      <c r="D120" s="359" t="s">
        <v>316</v>
      </c>
      <c r="E120" s="358"/>
      <c r="F120" s="334">
        <v>1</v>
      </c>
      <c r="G120" s="371">
        <v>1</v>
      </c>
      <c r="H120" s="333">
        <f t="shared" si="3"/>
        <v>0</v>
      </c>
    </row>
    <row r="121" spans="3:8" ht="18" customHeight="1" x14ac:dyDescent="0.25">
      <c r="C121" s="335" t="s">
        <v>32</v>
      </c>
      <c r="D121" s="359" t="s">
        <v>316</v>
      </c>
      <c r="E121" s="358"/>
      <c r="F121" s="334">
        <v>1</v>
      </c>
      <c r="G121" s="371">
        <v>1</v>
      </c>
      <c r="H121" s="333">
        <f t="shared" si="3"/>
        <v>0</v>
      </c>
    </row>
    <row r="122" spans="3:8" ht="18" customHeight="1" x14ac:dyDescent="0.25">
      <c r="C122" s="335" t="s">
        <v>365</v>
      </c>
      <c r="D122" s="359" t="s">
        <v>316</v>
      </c>
      <c r="E122" s="358"/>
      <c r="F122" s="334">
        <v>16</v>
      </c>
      <c r="G122" s="371">
        <v>10</v>
      </c>
      <c r="H122" s="333">
        <f t="shared" si="3"/>
        <v>6</v>
      </c>
    </row>
    <row r="123" spans="3:8" ht="18" customHeight="1" x14ac:dyDescent="0.25">
      <c r="C123" s="335" t="s">
        <v>366</v>
      </c>
      <c r="D123" s="359" t="s">
        <v>316</v>
      </c>
      <c r="E123" s="358"/>
      <c r="F123" s="334">
        <v>1</v>
      </c>
      <c r="G123" s="371">
        <v>1</v>
      </c>
      <c r="H123" s="333">
        <f t="shared" si="3"/>
        <v>0</v>
      </c>
    </row>
    <row r="124" spans="3:8" ht="18" customHeight="1" x14ac:dyDescent="0.25">
      <c r="C124" s="335" t="s">
        <v>103</v>
      </c>
      <c r="D124" s="359" t="s">
        <v>316</v>
      </c>
      <c r="E124" s="358"/>
      <c r="F124" s="334">
        <v>12</v>
      </c>
      <c r="G124" s="371">
        <v>0</v>
      </c>
      <c r="H124" s="333">
        <f t="shared" si="3"/>
        <v>12</v>
      </c>
    </row>
    <row r="125" spans="3:8" ht="18" customHeight="1" x14ac:dyDescent="0.25">
      <c r="C125" s="335" t="s">
        <v>367</v>
      </c>
      <c r="D125" s="359" t="s">
        <v>316</v>
      </c>
      <c r="E125" s="358"/>
      <c r="F125" s="334">
        <v>1</v>
      </c>
      <c r="G125" s="371">
        <v>1</v>
      </c>
      <c r="H125" s="333">
        <f t="shared" si="3"/>
        <v>0</v>
      </c>
    </row>
    <row r="126" spans="3:8" ht="18" customHeight="1" x14ac:dyDescent="0.25">
      <c r="C126" s="335" t="s">
        <v>30</v>
      </c>
      <c r="D126" s="359" t="s">
        <v>316</v>
      </c>
      <c r="E126" s="358"/>
      <c r="F126" s="334">
        <v>4</v>
      </c>
      <c r="G126" s="371">
        <v>2</v>
      </c>
      <c r="H126" s="333">
        <f t="shared" si="3"/>
        <v>2</v>
      </c>
    </row>
    <row r="127" spans="3:8" ht="18" customHeight="1" x14ac:dyDescent="0.25">
      <c r="C127" s="335" t="s">
        <v>95</v>
      </c>
      <c r="D127" s="359" t="s">
        <v>316</v>
      </c>
      <c r="E127" s="358"/>
      <c r="F127" s="334">
        <v>12</v>
      </c>
      <c r="G127" s="371">
        <v>12</v>
      </c>
      <c r="H127" s="333">
        <f t="shared" si="3"/>
        <v>0</v>
      </c>
    </row>
    <row r="128" spans="3:8" ht="18" customHeight="1" x14ac:dyDescent="0.25">
      <c r="C128" s="335" t="s">
        <v>275</v>
      </c>
      <c r="D128" s="359" t="s">
        <v>316</v>
      </c>
      <c r="E128" s="358"/>
      <c r="F128" s="334">
        <v>2</v>
      </c>
      <c r="G128" s="371">
        <v>0</v>
      </c>
      <c r="H128" s="333">
        <f t="shared" si="3"/>
        <v>2</v>
      </c>
    </row>
    <row r="129" spans="3:8" ht="18" customHeight="1" x14ac:dyDescent="0.25">
      <c r="C129" s="335" t="s">
        <v>108</v>
      </c>
      <c r="D129" s="359" t="s">
        <v>316</v>
      </c>
      <c r="E129" s="358"/>
      <c r="F129" s="334">
        <v>4</v>
      </c>
      <c r="G129" s="371">
        <v>0</v>
      </c>
      <c r="H129" s="333">
        <f t="shared" si="3"/>
        <v>4</v>
      </c>
    </row>
    <row r="130" spans="3:8" ht="18" customHeight="1" x14ac:dyDescent="0.25">
      <c r="C130" s="335" t="s">
        <v>368</v>
      </c>
      <c r="D130" s="360" t="s">
        <v>26</v>
      </c>
      <c r="E130" s="358"/>
      <c r="F130" s="334">
        <v>2</v>
      </c>
      <c r="G130" s="371">
        <v>1</v>
      </c>
      <c r="H130" s="333">
        <f t="shared" si="3"/>
        <v>1</v>
      </c>
    </row>
    <row r="131" spans="3:8" ht="18" customHeight="1" x14ac:dyDescent="0.25">
      <c r="C131" s="335" t="s">
        <v>369</v>
      </c>
      <c r="D131" s="359" t="s">
        <v>316</v>
      </c>
      <c r="E131" s="358"/>
      <c r="F131" s="334">
        <v>2</v>
      </c>
      <c r="G131" s="371">
        <v>1</v>
      </c>
      <c r="H131" s="333">
        <f t="shared" si="3"/>
        <v>1</v>
      </c>
    </row>
    <row r="132" spans="3:8" ht="18" customHeight="1" x14ac:dyDescent="0.25">
      <c r="C132" s="361" t="s">
        <v>370</v>
      </c>
      <c r="D132" s="359" t="s">
        <v>316</v>
      </c>
      <c r="E132" s="358"/>
      <c r="F132" s="334">
        <v>12</v>
      </c>
      <c r="G132" s="371">
        <v>0</v>
      </c>
      <c r="H132" s="333">
        <f t="shared" si="3"/>
        <v>12</v>
      </c>
    </row>
    <row r="133" spans="3:8" ht="14.25" customHeight="1" x14ac:dyDescent="0.25">
      <c r="C133" s="343" t="s">
        <v>146</v>
      </c>
      <c r="D133" s="342"/>
      <c r="E133" s="332"/>
      <c r="F133" s="362">
        <f>SUM(F104:F132)</f>
        <v>193</v>
      </c>
      <c r="G133" s="370">
        <f>SUM(G104:G132)</f>
        <v>113</v>
      </c>
      <c r="H133" s="355">
        <f>SUM(H104:H132)</f>
        <v>80</v>
      </c>
    </row>
    <row r="134" spans="3:8" ht="14.25" customHeight="1" x14ac:dyDescent="0.25">
      <c r="C134" s="363" t="s">
        <v>395</v>
      </c>
      <c r="D134" s="342">
        <v>65</v>
      </c>
      <c r="E134" s="332">
        <v>0</v>
      </c>
      <c r="F134" s="364"/>
      <c r="G134" s="369"/>
      <c r="H134" s="346"/>
    </row>
    <row r="135" spans="3:8" x14ac:dyDescent="0.25">
      <c r="C135" s="335" t="s">
        <v>407</v>
      </c>
      <c r="D135" s="357" t="s">
        <v>410</v>
      </c>
      <c r="E135" s="358"/>
      <c r="F135" s="333">
        <v>2</v>
      </c>
      <c r="G135" s="369">
        <v>2</v>
      </c>
      <c r="H135" s="333">
        <f t="shared" ref="H135:H148" si="4">F135-G135</f>
        <v>0</v>
      </c>
    </row>
    <row r="136" spans="3:8" x14ac:dyDescent="0.25">
      <c r="C136" s="335" t="s">
        <v>408</v>
      </c>
      <c r="D136" s="357" t="s">
        <v>411</v>
      </c>
      <c r="E136" s="358"/>
      <c r="F136" s="333">
        <v>65</v>
      </c>
      <c r="G136" s="369">
        <v>47</v>
      </c>
      <c r="H136" s="333">
        <f t="shared" si="4"/>
        <v>18</v>
      </c>
    </row>
    <row r="137" spans="3:8" x14ac:dyDescent="0.25">
      <c r="C137" s="335" t="s">
        <v>409</v>
      </c>
      <c r="D137" s="357" t="s">
        <v>411</v>
      </c>
      <c r="E137" s="358"/>
      <c r="F137" s="333">
        <v>4</v>
      </c>
      <c r="G137" s="369">
        <v>0</v>
      </c>
      <c r="H137" s="333">
        <f t="shared" si="4"/>
        <v>4</v>
      </c>
    </row>
    <row r="138" spans="3:8" x14ac:dyDescent="0.25">
      <c r="C138" s="335" t="s">
        <v>396</v>
      </c>
      <c r="D138" s="359" t="s">
        <v>411</v>
      </c>
      <c r="E138" s="358"/>
      <c r="F138" s="333">
        <v>20</v>
      </c>
      <c r="G138" s="369">
        <v>0</v>
      </c>
      <c r="H138" s="333">
        <f t="shared" si="4"/>
        <v>20</v>
      </c>
    </row>
    <row r="139" spans="3:8" x14ac:dyDescent="0.25">
      <c r="C139" s="335" t="s">
        <v>397</v>
      </c>
      <c r="D139" s="359" t="s">
        <v>410</v>
      </c>
      <c r="E139" s="358"/>
      <c r="F139" s="333">
        <v>3</v>
      </c>
      <c r="G139" s="369">
        <v>0</v>
      </c>
      <c r="H139" s="333">
        <f t="shared" si="4"/>
        <v>3</v>
      </c>
    </row>
    <row r="140" spans="3:8" x14ac:dyDescent="0.25">
      <c r="C140" s="335" t="s">
        <v>398</v>
      </c>
      <c r="D140" s="359" t="s">
        <v>411</v>
      </c>
      <c r="E140" s="358"/>
      <c r="F140" s="334">
        <v>16</v>
      </c>
      <c r="G140" s="371">
        <v>3</v>
      </c>
      <c r="H140" s="333">
        <f t="shared" si="4"/>
        <v>13</v>
      </c>
    </row>
    <row r="141" spans="3:8" x14ac:dyDescent="0.25">
      <c r="C141" s="335" t="s">
        <v>399</v>
      </c>
      <c r="D141" s="359" t="s">
        <v>411</v>
      </c>
      <c r="E141" s="358"/>
      <c r="F141" s="334">
        <v>2</v>
      </c>
      <c r="G141" s="371">
        <v>1</v>
      </c>
      <c r="H141" s="333">
        <f t="shared" si="4"/>
        <v>1</v>
      </c>
    </row>
    <row r="142" spans="3:8" x14ac:dyDescent="0.25">
      <c r="C142" s="335" t="s">
        <v>400</v>
      </c>
      <c r="D142" s="360" t="s">
        <v>411</v>
      </c>
      <c r="E142" s="358"/>
      <c r="F142" s="334">
        <v>10</v>
      </c>
      <c r="G142" s="371">
        <v>5</v>
      </c>
      <c r="H142" s="333">
        <f t="shared" si="4"/>
        <v>5</v>
      </c>
    </row>
    <row r="143" spans="3:8" x14ac:dyDescent="0.25">
      <c r="C143" s="335" t="s">
        <v>401</v>
      </c>
      <c r="D143" s="359" t="s">
        <v>411</v>
      </c>
      <c r="E143" s="358"/>
      <c r="F143" s="334">
        <v>2</v>
      </c>
      <c r="G143" s="371">
        <v>1</v>
      </c>
      <c r="H143" s="333">
        <f t="shared" si="4"/>
        <v>1</v>
      </c>
    </row>
    <row r="144" spans="3:8" x14ac:dyDescent="0.25">
      <c r="C144" s="335" t="s">
        <v>402</v>
      </c>
      <c r="D144" s="360" t="s">
        <v>411</v>
      </c>
      <c r="E144" s="358"/>
      <c r="F144" s="334">
        <v>3</v>
      </c>
      <c r="G144" s="371">
        <v>2</v>
      </c>
      <c r="H144" s="333">
        <f t="shared" si="4"/>
        <v>1</v>
      </c>
    </row>
    <row r="145" spans="3:8" x14ac:dyDescent="0.25">
      <c r="C145" s="335" t="s">
        <v>403</v>
      </c>
      <c r="D145" s="360" t="s">
        <v>411</v>
      </c>
      <c r="E145" s="358"/>
      <c r="F145" s="334">
        <v>25</v>
      </c>
      <c r="G145" s="371">
        <v>15</v>
      </c>
      <c r="H145" s="333">
        <f t="shared" si="4"/>
        <v>10</v>
      </c>
    </row>
    <row r="146" spans="3:8" x14ac:dyDescent="0.25">
      <c r="C146" s="335" t="s">
        <v>404</v>
      </c>
      <c r="D146" s="359" t="s">
        <v>411</v>
      </c>
      <c r="E146" s="358"/>
      <c r="F146" s="334">
        <v>4</v>
      </c>
      <c r="G146" s="371">
        <v>2</v>
      </c>
      <c r="H146" s="333">
        <f t="shared" si="4"/>
        <v>2</v>
      </c>
    </row>
    <row r="147" spans="3:8" x14ac:dyDescent="0.25">
      <c r="C147" s="335" t="s">
        <v>405</v>
      </c>
      <c r="D147" s="360" t="s">
        <v>410</v>
      </c>
      <c r="E147" s="358"/>
      <c r="F147" s="334">
        <v>25</v>
      </c>
      <c r="G147" s="371">
        <v>5</v>
      </c>
      <c r="H147" s="333">
        <f t="shared" si="4"/>
        <v>20</v>
      </c>
    </row>
    <row r="148" spans="3:8" x14ac:dyDescent="0.25">
      <c r="C148" s="335" t="s">
        <v>406</v>
      </c>
      <c r="D148" s="360" t="s">
        <v>410</v>
      </c>
      <c r="E148" s="358"/>
      <c r="F148" s="334">
        <v>25</v>
      </c>
      <c r="G148" s="371">
        <v>5</v>
      </c>
      <c r="H148" s="333">
        <f t="shared" si="4"/>
        <v>20</v>
      </c>
    </row>
    <row r="149" spans="3:8" x14ac:dyDescent="0.25">
      <c r="C149" s="351" t="s">
        <v>146</v>
      </c>
      <c r="D149" s="352"/>
      <c r="E149" s="353"/>
      <c r="F149" s="354">
        <f>SUM(F135:F148)</f>
        <v>206</v>
      </c>
      <c r="G149" s="373">
        <f>SUM(G135:G148)</f>
        <v>88</v>
      </c>
      <c r="H149" s="355">
        <f>SUM(H135:H148)</f>
        <v>118</v>
      </c>
    </row>
    <row r="150" spans="3:8" ht="15.75" x14ac:dyDescent="0.25">
      <c r="C150" s="363" t="s">
        <v>414</v>
      </c>
      <c r="D150" s="342">
        <v>156</v>
      </c>
      <c r="E150" s="332">
        <v>0</v>
      </c>
      <c r="F150" s="364"/>
      <c r="G150" s="369"/>
      <c r="H150" s="346"/>
    </row>
    <row r="151" spans="3:8" x14ac:dyDescent="0.25">
      <c r="C151" s="335" t="s">
        <v>418</v>
      </c>
      <c r="D151" s="357" t="s">
        <v>410</v>
      </c>
      <c r="E151" s="358"/>
      <c r="F151" s="333">
        <v>2</v>
      </c>
      <c r="G151" s="369">
        <v>0</v>
      </c>
      <c r="H151" s="333">
        <f t="shared" ref="H151:H159" si="5">F151-G151</f>
        <v>2</v>
      </c>
    </row>
    <row r="152" spans="3:8" x14ac:dyDescent="0.25">
      <c r="C152" s="335" t="s">
        <v>419</v>
      </c>
      <c r="D152" s="357" t="s">
        <v>411</v>
      </c>
      <c r="E152" s="358"/>
      <c r="F152" s="333">
        <v>156</v>
      </c>
      <c r="G152" s="374">
        <v>91</v>
      </c>
      <c r="H152" s="333">
        <f t="shared" si="5"/>
        <v>65</v>
      </c>
    </row>
    <row r="153" spans="3:8" x14ac:dyDescent="0.25">
      <c r="C153" s="335" t="s">
        <v>420</v>
      </c>
      <c r="D153" s="357" t="s">
        <v>411</v>
      </c>
      <c r="E153" s="358"/>
      <c r="F153" s="333">
        <v>6</v>
      </c>
      <c r="G153" s="369">
        <v>0</v>
      </c>
      <c r="H153" s="333">
        <f t="shared" si="5"/>
        <v>6</v>
      </c>
    </row>
    <row r="154" spans="3:8" x14ac:dyDescent="0.25">
      <c r="C154" s="335" t="s">
        <v>421</v>
      </c>
      <c r="D154" s="359" t="s">
        <v>411</v>
      </c>
      <c r="E154" s="358"/>
      <c r="F154" s="333">
        <v>4</v>
      </c>
      <c r="G154" s="369">
        <v>0</v>
      </c>
      <c r="H154" s="333">
        <f t="shared" si="5"/>
        <v>4</v>
      </c>
    </row>
    <row r="155" spans="3:8" x14ac:dyDescent="0.25">
      <c r="C155" s="335" t="s">
        <v>422</v>
      </c>
      <c r="D155" s="359" t="s">
        <v>410</v>
      </c>
      <c r="E155" s="358"/>
      <c r="F155" s="333">
        <v>20</v>
      </c>
      <c r="G155" s="369">
        <v>0</v>
      </c>
      <c r="H155" s="333">
        <f t="shared" si="5"/>
        <v>20</v>
      </c>
    </row>
    <row r="156" spans="3:8" x14ac:dyDescent="0.25">
      <c r="C156" s="335" t="s">
        <v>423</v>
      </c>
      <c r="D156" s="359" t="s">
        <v>410</v>
      </c>
      <c r="E156" s="358"/>
      <c r="F156" s="334">
        <v>3</v>
      </c>
      <c r="G156" s="371">
        <v>3</v>
      </c>
      <c r="H156" s="333">
        <f t="shared" si="5"/>
        <v>0</v>
      </c>
    </row>
    <row r="157" spans="3:8" x14ac:dyDescent="0.25">
      <c r="C157" s="335" t="s">
        <v>424</v>
      </c>
      <c r="D157" s="359" t="s">
        <v>410</v>
      </c>
      <c r="E157" s="358"/>
      <c r="F157" s="334">
        <v>4</v>
      </c>
      <c r="G157" s="371">
        <v>1</v>
      </c>
      <c r="H157" s="333">
        <f t="shared" si="5"/>
        <v>3</v>
      </c>
    </row>
    <row r="158" spans="3:8" x14ac:dyDescent="0.25">
      <c r="C158" s="335" t="s">
        <v>425</v>
      </c>
      <c r="D158" s="359" t="s">
        <v>410</v>
      </c>
      <c r="E158" s="358"/>
      <c r="F158" s="334">
        <v>3</v>
      </c>
      <c r="G158" s="371">
        <v>1</v>
      </c>
      <c r="H158" s="333">
        <f t="shared" si="5"/>
        <v>2</v>
      </c>
    </row>
    <row r="159" spans="3:8" x14ac:dyDescent="0.25">
      <c r="C159" s="335" t="s">
        <v>426</v>
      </c>
      <c r="D159" s="359" t="s">
        <v>411</v>
      </c>
      <c r="E159" s="358"/>
      <c r="F159" s="334">
        <v>2</v>
      </c>
      <c r="G159" s="371">
        <v>1</v>
      </c>
      <c r="H159" s="333">
        <f t="shared" si="5"/>
        <v>1</v>
      </c>
    </row>
    <row r="160" spans="3:8" x14ac:dyDescent="0.25">
      <c r="C160" s="351" t="s">
        <v>146</v>
      </c>
      <c r="D160" s="352"/>
      <c r="E160" s="355"/>
      <c r="F160" s="354">
        <f>SUM(F151:F159)</f>
        <v>200</v>
      </c>
      <c r="G160" s="373">
        <f>SUM(G151:G159)</f>
        <v>97</v>
      </c>
      <c r="H160" s="355">
        <f>SUM(H151:H159)</f>
        <v>103</v>
      </c>
    </row>
    <row r="161" spans="3:8" ht="15.75" x14ac:dyDescent="0.25">
      <c r="C161" s="363" t="s">
        <v>415</v>
      </c>
      <c r="D161" s="342">
        <v>32</v>
      </c>
      <c r="E161" s="332">
        <v>0</v>
      </c>
      <c r="F161" s="364"/>
      <c r="G161" s="369"/>
      <c r="H161" s="346"/>
    </row>
    <row r="162" spans="3:8" x14ac:dyDescent="0.25">
      <c r="C162" s="335" t="s">
        <v>364</v>
      </c>
      <c r="D162" s="335" t="s">
        <v>28</v>
      </c>
      <c r="E162" s="358"/>
      <c r="F162" s="333">
        <v>30</v>
      </c>
      <c r="G162" s="374">
        <v>15</v>
      </c>
      <c r="H162" s="333">
        <f t="shared" ref="H162:H174" si="6">F162-G162</f>
        <v>15</v>
      </c>
    </row>
    <row r="163" spans="3:8" x14ac:dyDescent="0.25">
      <c r="C163" s="335" t="s">
        <v>427</v>
      </c>
      <c r="D163" s="335" t="s">
        <v>411</v>
      </c>
      <c r="E163" s="358"/>
      <c r="F163" s="333">
        <v>2</v>
      </c>
      <c r="G163" s="369">
        <v>0</v>
      </c>
      <c r="H163" s="333">
        <f t="shared" si="6"/>
        <v>2</v>
      </c>
    </row>
    <row r="164" spans="3:8" x14ac:dyDescent="0.25">
      <c r="C164" s="335" t="s">
        <v>425</v>
      </c>
      <c r="D164" s="335" t="s">
        <v>411</v>
      </c>
      <c r="E164" s="358"/>
      <c r="F164" s="333">
        <v>20</v>
      </c>
      <c r="G164" s="369">
        <v>1</v>
      </c>
      <c r="H164" s="333">
        <f t="shared" si="6"/>
        <v>19</v>
      </c>
    </row>
    <row r="165" spans="3:8" x14ac:dyDescent="0.25">
      <c r="C165" s="335" t="s">
        <v>29</v>
      </c>
      <c r="D165" s="335" t="s">
        <v>411</v>
      </c>
      <c r="E165" s="358"/>
      <c r="F165" s="333">
        <v>4</v>
      </c>
      <c r="G165" s="369">
        <v>0</v>
      </c>
      <c r="H165" s="333">
        <f t="shared" si="6"/>
        <v>4</v>
      </c>
    </row>
    <row r="166" spans="3:8" x14ac:dyDescent="0.25">
      <c r="C166" s="335" t="s">
        <v>30</v>
      </c>
      <c r="D166" s="335" t="s">
        <v>410</v>
      </c>
      <c r="E166" s="358"/>
      <c r="F166" s="333">
        <v>4</v>
      </c>
      <c r="G166" s="369">
        <v>1</v>
      </c>
      <c r="H166" s="333">
        <f t="shared" si="6"/>
        <v>3</v>
      </c>
    </row>
    <row r="167" spans="3:8" x14ac:dyDescent="0.25">
      <c r="C167" s="335" t="s">
        <v>428</v>
      </c>
      <c r="D167" s="335" t="s">
        <v>411</v>
      </c>
      <c r="E167" s="358"/>
      <c r="F167" s="334">
        <v>20</v>
      </c>
      <c r="G167" s="371">
        <v>0</v>
      </c>
      <c r="H167" s="333">
        <f t="shared" si="6"/>
        <v>20</v>
      </c>
    </row>
    <row r="168" spans="3:8" x14ac:dyDescent="0.25">
      <c r="C168" s="335" t="s">
        <v>429</v>
      </c>
      <c r="D168" s="335" t="s">
        <v>411</v>
      </c>
      <c r="E168" s="358"/>
      <c r="F168" s="334">
        <v>30</v>
      </c>
      <c r="G168" s="371">
        <v>0</v>
      </c>
      <c r="H168" s="333">
        <f t="shared" si="6"/>
        <v>30</v>
      </c>
    </row>
    <row r="169" spans="3:8" x14ac:dyDescent="0.25">
      <c r="C169" s="335" t="s">
        <v>430</v>
      </c>
      <c r="D169" s="335" t="s">
        <v>411</v>
      </c>
      <c r="E169" s="358"/>
      <c r="F169" s="334">
        <v>20</v>
      </c>
      <c r="G169" s="371">
        <v>5</v>
      </c>
      <c r="H169" s="333">
        <f t="shared" si="6"/>
        <v>15</v>
      </c>
    </row>
    <row r="170" spans="3:8" x14ac:dyDescent="0.25">
      <c r="C170" s="335" t="s">
        <v>423</v>
      </c>
      <c r="D170" s="335" t="s">
        <v>26</v>
      </c>
      <c r="E170" s="358"/>
      <c r="F170" s="334">
        <v>3</v>
      </c>
      <c r="G170" s="371">
        <v>1</v>
      </c>
      <c r="H170" s="333">
        <f t="shared" si="6"/>
        <v>2</v>
      </c>
    </row>
    <row r="171" spans="3:8" x14ac:dyDescent="0.25">
      <c r="C171" s="335" t="s">
        <v>431</v>
      </c>
      <c r="D171" s="335" t="s">
        <v>411</v>
      </c>
      <c r="E171" s="358"/>
      <c r="F171" s="334">
        <v>2</v>
      </c>
      <c r="G171" s="371">
        <v>0</v>
      </c>
      <c r="H171" s="333">
        <f t="shared" si="6"/>
        <v>2</v>
      </c>
    </row>
    <row r="172" spans="3:8" x14ac:dyDescent="0.25">
      <c r="C172" s="335" t="s">
        <v>32</v>
      </c>
      <c r="D172" s="335" t="s">
        <v>411</v>
      </c>
      <c r="E172" s="358"/>
      <c r="F172" s="334">
        <v>2</v>
      </c>
      <c r="G172" s="371">
        <v>2</v>
      </c>
      <c r="H172" s="333">
        <f t="shared" si="6"/>
        <v>0</v>
      </c>
    </row>
    <row r="173" spans="3:8" x14ac:dyDescent="0.25">
      <c r="C173" s="335" t="s">
        <v>425</v>
      </c>
      <c r="D173" s="335" t="s">
        <v>26</v>
      </c>
      <c r="E173" s="358"/>
      <c r="F173" s="334">
        <v>15</v>
      </c>
      <c r="G173" s="371">
        <v>0</v>
      </c>
      <c r="H173" s="333">
        <f t="shared" si="6"/>
        <v>15</v>
      </c>
    </row>
    <row r="174" spans="3:8" x14ac:dyDescent="0.25">
      <c r="C174" s="335" t="s">
        <v>365</v>
      </c>
      <c r="D174" s="335" t="s">
        <v>411</v>
      </c>
      <c r="E174" s="358"/>
      <c r="F174" s="334">
        <v>10</v>
      </c>
      <c r="G174" s="371">
        <v>0</v>
      </c>
      <c r="H174" s="333">
        <f t="shared" si="6"/>
        <v>10</v>
      </c>
    </row>
    <row r="175" spans="3:8" x14ac:dyDescent="0.25">
      <c r="C175" s="335" t="s">
        <v>366</v>
      </c>
      <c r="D175" s="335" t="s">
        <v>411</v>
      </c>
      <c r="E175" s="358"/>
      <c r="F175" s="334">
        <v>2</v>
      </c>
      <c r="G175" s="371">
        <v>2</v>
      </c>
      <c r="H175" s="333">
        <f t="shared" ref="H175:H181" si="7">F175-G175</f>
        <v>0</v>
      </c>
    </row>
    <row r="176" spans="3:8" x14ac:dyDescent="0.25">
      <c r="C176" s="335" t="s">
        <v>432</v>
      </c>
      <c r="D176" s="335" t="s">
        <v>411</v>
      </c>
      <c r="E176" s="358"/>
      <c r="F176" s="334">
        <v>4</v>
      </c>
      <c r="G176" s="371">
        <v>1</v>
      </c>
      <c r="H176" s="333">
        <f t="shared" si="7"/>
        <v>3</v>
      </c>
    </row>
    <row r="177" spans="3:8" x14ac:dyDescent="0.25">
      <c r="C177" s="335" t="s">
        <v>433</v>
      </c>
      <c r="D177" s="335" t="s">
        <v>411</v>
      </c>
      <c r="E177" s="358"/>
      <c r="F177" s="334">
        <v>24</v>
      </c>
      <c r="G177" s="371">
        <v>0</v>
      </c>
      <c r="H177" s="333">
        <f t="shared" si="7"/>
        <v>24</v>
      </c>
    </row>
    <row r="178" spans="3:8" x14ac:dyDescent="0.25">
      <c r="C178" s="335" t="s">
        <v>275</v>
      </c>
      <c r="D178" s="335" t="s">
        <v>411</v>
      </c>
      <c r="E178" s="358"/>
      <c r="F178" s="334">
        <v>4</v>
      </c>
      <c r="G178" s="371">
        <v>0</v>
      </c>
      <c r="H178" s="333">
        <f t="shared" si="7"/>
        <v>4</v>
      </c>
    </row>
    <row r="179" spans="3:8" x14ac:dyDescent="0.25">
      <c r="C179" s="335" t="s">
        <v>434</v>
      </c>
      <c r="D179" s="335" t="s">
        <v>26</v>
      </c>
      <c r="E179" s="358"/>
      <c r="F179" s="334">
        <v>15</v>
      </c>
      <c r="G179" s="371">
        <v>0</v>
      </c>
      <c r="H179" s="333">
        <f t="shared" si="7"/>
        <v>15</v>
      </c>
    </row>
    <row r="180" spans="3:8" x14ac:dyDescent="0.25">
      <c r="C180" s="335" t="s">
        <v>435</v>
      </c>
      <c r="D180" s="335" t="s">
        <v>410</v>
      </c>
      <c r="E180" s="358"/>
      <c r="F180" s="334">
        <v>15</v>
      </c>
      <c r="G180" s="371">
        <v>0</v>
      </c>
      <c r="H180" s="333">
        <f t="shared" si="7"/>
        <v>15</v>
      </c>
    </row>
    <row r="181" spans="3:8" x14ac:dyDescent="0.25">
      <c r="C181" s="335" t="s">
        <v>436</v>
      </c>
      <c r="D181" s="335" t="s">
        <v>411</v>
      </c>
      <c r="E181" s="358"/>
      <c r="F181" s="334">
        <v>24</v>
      </c>
      <c r="G181" s="371">
        <v>0</v>
      </c>
      <c r="H181" s="333">
        <f t="shared" si="7"/>
        <v>24</v>
      </c>
    </row>
    <row r="182" spans="3:8" x14ac:dyDescent="0.25">
      <c r="C182" s="351" t="s">
        <v>146</v>
      </c>
      <c r="D182" s="352"/>
      <c r="E182" s="355"/>
      <c r="F182" s="354">
        <f>SUM(F162:F181)</f>
        <v>250</v>
      </c>
      <c r="G182" s="373">
        <f>SUM(G162:G181)</f>
        <v>28</v>
      </c>
      <c r="H182" s="355">
        <f>SUM(H162:H181)</f>
        <v>222</v>
      </c>
    </row>
    <row r="183" spans="3:8" ht="15.75" x14ac:dyDescent="0.25">
      <c r="C183" s="363" t="s">
        <v>416</v>
      </c>
      <c r="D183" s="342">
        <v>44</v>
      </c>
      <c r="E183" s="332">
        <v>0</v>
      </c>
      <c r="F183" s="364"/>
      <c r="G183" s="369"/>
      <c r="H183" s="346"/>
    </row>
    <row r="184" spans="3:8" x14ac:dyDescent="0.25">
      <c r="C184" s="335" t="s">
        <v>437</v>
      </c>
      <c r="D184" s="357" t="s">
        <v>411</v>
      </c>
      <c r="E184" s="349"/>
      <c r="F184" s="333">
        <v>2</v>
      </c>
      <c r="G184" s="369">
        <v>0</v>
      </c>
      <c r="H184" s="333">
        <f t="shared" ref="H184:H190" si="8">F184-G184</f>
        <v>2</v>
      </c>
    </row>
    <row r="185" spans="3:8" x14ac:dyDescent="0.25">
      <c r="C185" s="335" t="s">
        <v>438</v>
      </c>
      <c r="D185" s="357" t="s">
        <v>411</v>
      </c>
      <c r="E185" s="349"/>
      <c r="F185" s="333">
        <v>30</v>
      </c>
      <c r="G185" s="369">
        <v>14</v>
      </c>
      <c r="H185" s="333">
        <f t="shared" si="8"/>
        <v>16</v>
      </c>
    </row>
    <row r="186" spans="3:8" x14ac:dyDescent="0.25">
      <c r="C186" s="335" t="s">
        <v>439</v>
      </c>
      <c r="D186" s="359" t="s">
        <v>410</v>
      </c>
      <c r="E186" s="349"/>
      <c r="F186" s="333">
        <v>1</v>
      </c>
      <c r="G186" s="369">
        <v>0</v>
      </c>
      <c r="H186" s="333">
        <f t="shared" si="8"/>
        <v>1</v>
      </c>
    </row>
    <row r="187" spans="3:8" x14ac:dyDescent="0.25">
      <c r="C187" s="335" t="s">
        <v>440</v>
      </c>
      <c r="D187" s="357" t="s">
        <v>411</v>
      </c>
      <c r="E187" s="349"/>
      <c r="F187" s="333">
        <v>30</v>
      </c>
      <c r="G187" s="369">
        <v>30</v>
      </c>
      <c r="H187" s="333">
        <f t="shared" si="8"/>
        <v>0</v>
      </c>
    </row>
    <row r="188" spans="3:8" x14ac:dyDescent="0.25">
      <c r="C188" s="335" t="s">
        <v>423</v>
      </c>
      <c r="D188" s="359" t="s">
        <v>410</v>
      </c>
      <c r="E188" s="349"/>
      <c r="F188" s="333">
        <v>3</v>
      </c>
      <c r="G188" s="369">
        <v>1</v>
      </c>
      <c r="H188" s="333">
        <f t="shared" si="8"/>
        <v>2</v>
      </c>
    </row>
    <row r="189" spans="3:8" x14ac:dyDescent="0.25">
      <c r="C189" s="335" t="s">
        <v>441</v>
      </c>
      <c r="D189" s="359" t="s">
        <v>410</v>
      </c>
      <c r="E189" s="349"/>
      <c r="F189" s="334">
        <v>3</v>
      </c>
      <c r="G189" s="371">
        <v>0</v>
      </c>
      <c r="H189" s="333">
        <f t="shared" si="8"/>
        <v>3</v>
      </c>
    </row>
    <row r="190" spans="3:8" x14ac:dyDescent="0.25">
      <c r="C190" s="335" t="s">
        <v>442</v>
      </c>
      <c r="D190" s="359" t="s">
        <v>411</v>
      </c>
      <c r="E190" s="349"/>
      <c r="F190" s="334">
        <v>4</v>
      </c>
      <c r="G190" s="371">
        <v>0</v>
      </c>
      <c r="H190" s="333">
        <f t="shared" si="8"/>
        <v>4</v>
      </c>
    </row>
    <row r="191" spans="3:8" x14ac:dyDescent="0.25">
      <c r="C191" s="351" t="s">
        <v>146</v>
      </c>
      <c r="D191" s="352"/>
      <c r="E191" s="355">
        <f>E183+E151+E131+E96+E55</f>
        <v>0</v>
      </c>
      <c r="F191" s="354">
        <f>SUM(F184:F190)</f>
        <v>73</v>
      </c>
      <c r="G191" s="373">
        <f>SUM(G184:G190)</f>
        <v>45</v>
      </c>
      <c r="H191" s="355">
        <f>SUM(H184:H190)</f>
        <v>28</v>
      </c>
    </row>
    <row r="192" spans="3:8" ht="15.75" x14ac:dyDescent="0.25">
      <c r="C192" s="363" t="s">
        <v>417</v>
      </c>
      <c r="D192" s="342">
        <v>56</v>
      </c>
      <c r="E192" s="332">
        <v>0</v>
      </c>
      <c r="F192" s="364"/>
      <c r="G192" s="369"/>
      <c r="H192" s="346"/>
    </row>
    <row r="193" spans="3:8" x14ac:dyDescent="0.25">
      <c r="C193" s="365" t="s">
        <v>443</v>
      </c>
      <c r="D193" s="357" t="s">
        <v>410</v>
      </c>
      <c r="E193" s="358"/>
      <c r="F193" s="333">
        <v>2</v>
      </c>
      <c r="G193" s="369">
        <v>1</v>
      </c>
      <c r="H193" s="333">
        <f t="shared" ref="H193:H216" si="9">F193-G193</f>
        <v>1</v>
      </c>
    </row>
    <row r="194" spans="3:8" x14ac:dyDescent="0.25">
      <c r="C194" s="365" t="s">
        <v>444</v>
      </c>
      <c r="D194" s="357" t="s">
        <v>411</v>
      </c>
      <c r="E194" s="358"/>
      <c r="F194" s="333">
        <v>25</v>
      </c>
      <c r="G194" s="369">
        <v>0</v>
      </c>
      <c r="H194" s="333">
        <f t="shared" si="9"/>
        <v>25</v>
      </c>
    </row>
    <row r="195" spans="3:8" x14ac:dyDescent="0.25">
      <c r="C195" s="365" t="s">
        <v>445</v>
      </c>
      <c r="D195" s="357" t="s">
        <v>411</v>
      </c>
      <c r="E195" s="358"/>
      <c r="F195" s="333">
        <v>4</v>
      </c>
      <c r="G195" s="369">
        <v>0</v>
      </c>
      <c r="H195" s="333">
        <f t="shared" si="9"/>
        <v>4</v>
      </c>
    </row>
    <row r="196" spans="3:8" x14ac:dyDescent="0.25">
      <c r="C196" s="365" t="s">
        <v>446</v>
      </c>
      <c r="D196" s="359" t="s">
        <v>411</v>
      </c>
      <c r="E196" s="358"/>
      <c r="F196" s="333">
        <v>20</v>
      </c>
      <c r="G196" s="369">
        <v>10</v>
      </c>
      <c r="H196" s="333">
        <f t="shared" si="9"/>
        <v>10</v>
      </c>
    </row>
    <row r="197" spans="3:8" x14ac:dyDescent="0.25">
      <c r="C197" s="365" t="s">
        <v>447</v>
      </c>
      <c r="D197" s="359" t="s">
        <v>410</v>
      </c>
      <c r="E197" s="358"/>
      <c r="F197" s="333">
        <v>3</v>
      </c>
      <c r="G197" s="369">
        <v>2</v>
      </c>
      <c r="H197" s="333">
        <f t="shared" si="9"/>
        <v>1</v>
      </c>
    </row>
    <row r="198" spans="3:8" x14ac:dyDescent="0.25">
      <c r="C198" s="365" t="s">
        <v>448</v>
      </c>
      <c r="D198" s="359" t="s">
        <v>411</v>
      </c>
      <c r="E198" s="358"/>
      <c r="F198" s="334">
        <v>16</v>
      </c>
      <c r="G198" s="371">
        <v>16</v>
      </c>
      <c r="H198" s="333">
        <f t="shared" si="9"/>
        <v>0</v>
      </c>
    </row>
    <row r="199" spans="3:8" x14ac:dyDescent="0.25">
      <c r="C199" s="365" t="s">
        <v>449</v>
      </c>
      <c r="D199" s="359" t="s">
        <v>411</v>
      </c>
      <c r="E199" s="358"/>
      <c r="F199" s="334">
        <v>2</v>
      </c>
      <c r="G199" s="371">
        <v>1</v>
      </c>
      <c r="H199" s="333">
        <f t="shared" si="9"/>
        <v>1</v>
      </c>
    </row>
    <row r="200" spans="3:8" x14ac:dyDescent="0.25">
      <c r="C200" s="365" t="s">
        <v>450</v>
      </c>
      <c r="D200" s="360" t="s">
        <v>411</v>
      </c>
      <c r="E200" s="358"/>
      <c r="F200" s="334">
        <v>10</v>
      </c>
      <c r="G200" s="371">
        <v>10</v>
      </c>
      <c r="H200" s="333">
        <f t="shared" si="9"/>
        <v>0</v>
      </c>
    </row>
    <row r="201" spans="3:8" x14ac:dyDescent="0.25">
      <c r="C201" s="365" t="s">
        <v>451</v>
      </c>
      <c r="D201" s="359" t="s">
        <v>411</v>
      </c>
      <c r="E201" s="358"/>
      <c r="F201" s="334">
        <v>2</v>
      </c>
      <c r="G201" s="371">
        <v>0</v>
      </c>
      <c r="H201" s="333">
        <f t="shared" si="9"/>
        <v>2</v>
      </c>
    </row>
    <row r="202" spans="3:8" x14ac:dyDescent="0.25">
      <c r="C202" s="365" t="s">
        <v>30</v>
      </c>
      <c r="D202" s="360" t="s">
        <v>411</v>
      </c>
      <c r="E202" s="358"/>
      <c r="F202" s="334">
        <v>3</v>
      </c>
      <c r="G202" s="371">
        <v>2</v>
      </c>
      <c r="H202" s="333">
        <f t="shared" si="9"/>
        <v>1</v>
      </c>
    </row>
    <row r="203" spans="3:8" x14ac:dyDescent="0.25">
      <c r="C203" s="365" t="s">
        <v>452</v>
      </c>
      <c r="D203" s="360" t="s">
        <v>411</v>
      </c>
      <c r="E203" s="358"/>
      <c r="F203" s="334">
        <v>2</v>
      </c>
      <c r="G203" s="371">
        <v>2</v>
      </c>
      <c r="H203" s="333">
        <f t="shared" si="9"/>
        <v>0</v>
      </c>
    </row>
    <row r="204" spans="3:8" x14ac:dyDescent="0.25">
      <c r="C204" s="365" t="s">
        <v>453</v>
      </c>
      <c r="D204" s="359" t="s">
        <v>411</v>
      </c>
      <c r="E204" s="358"/>
      <c r="F204" s="334">
        <v>6</v>
      </c>
      <c r="G204" s="371">
        <v>4</v>
      </c>
      <c r="H204" s="333">
        <f t="shared" si="9"/>
        <v>2</v>
      </c>
    </row>
    <row r="205" spans="3:8" x14ac:dyDescent="0.25">
      <c r="C205" s="365" t="s">
        <v>454</v>
      </c>
      <c r="D205" s="359" t="s">
        <v>411</v>
      </c>
      <c r="E205" s="358"/>
      <c r="F205" s="334">
        <v>100</v>
      </c>
      <c r="G205" s="371">
        <v>50</v>
      </c>
      <c r="H205" s="333">
        <f t="shared" si="9"/>
        <v>50</v>
      </c>
    </row>
    <row r="206" spans="3:8" x14ac:dyDescent="0.25">
      <c r="C206" s="365" t="s">
        <v>455</v>
      </c>
      <c r="D206" s="360" t="s">
        <v>411</v>
      </c>
      <c r="E206" s="358"/>
      <c r="F206" s="334">
        <v>4</v>
      </c>
      <c r="G206" s="371">
        <v>1</v>
      </c>
      <c r="H206" s="333">
        <f t="shared" si="9"/>
        <v>3</v>
      </c>
    </row>
    <row r="207" spans="3:8" x14ac:dyDescent="0.25">
      <c r="C207" s="365" t="s">
        <v>456</v>
      </c>
      <c r="D207" s="360" t="s">
        <v>411</v>
      </c>
      <c r="E207" s="358"/>
      <c r="F207" s="334">
        <v>8</v>
      </c>
      <c r="G207" s="371">
        <v>5</v>
      </c>
      <c r="H207" s="333">
        <f t="shared" si="9"/>
        <v>3</v>
      </c>
    </row>
    <row r="208" spans="3:8" x14ac:dyDescent="0.25">
      <c r="C208" s="365" t="s">
        <v>457</v>
      </c>
      <c r="D208" s="359" t="s">
        <v>411</v>
      </c>
      <c r="E208" s="358"/>
      <c r="F208" s="334">
        <v>2</v>
      </c>
      <c r="G208" s="371">
        <v>1</v>
      </c>
      <c r="H208" s="333">
        <f t="shared" si="9"/>
        <v>1</v>
      </c>
    </row>
    <row r="209" spans="3:8" x14ac:dyDescent="0.25">
      <c r="C209" s="365" t="s">
        <v>458</v>
      </c>
      <c r="D209" s="359" t="s">
        <v>411</v>
      </c>
      <c r="E209" s="358"/>
      <c r="F209" s="334">
        <v>2</v>
      </c>
      <c r="G209" s="371">
        <v>0</v>
      </c>
      <c r="H209" s="333">
        <f t="shared" si="9"/>
        <v>2</v>
      </c>
    </row>
    <row r="210" spans="3:8" x14ac:dyDescent="0.25">
      <c r="C210" s="365" t="s">
        <v>459</v>
      </c>
      <c r="D210" s="360" t="s">
        <v>411</v>
      </c>
      <c r="E210" s="358"/>
      <c r="F210" s="334">
        <v>8</v>
      </c>
      <c r="G210" s="371">
        <v>0</v>
      </c>
      <c r="H210" s="333">
        <f t="shared" si="9"/>
        <v>8</v>
      </c>
    </row>
    <row r="211" spans="3:8" x14ac:dyDescent="0.25">
      <c r="C211" s="365" t="s">
        <v>460</v>
      </c>
      <c r="D211" s="360" t="s">
        <v>411</v>
      </c>
      <c r="E211" s="358"/>
      <c r="F211" s="334">
        <v>2</v>
      </c>
      <c r="G211" s="371">
        <v>1</v>
      </c>
      <c r="H211" s="333">
        <f t="shared" si="9"/>
        <v>1</v>
      </c>
    </row>
    <row r="212" spans="3:8" x14ac:dyDescent="0.25">
      <c r="C212" s="365" t="s">
        <v>461</v>
      </c>
      <c r="D212" s="359" t="s">
        <v>411</v>
      </c>
      <c r="E212" s="358"/>
      <c r="F212" s="334">
        <v>2</v>
      </c>
      <c r="G212" s="371">
        <v>1</v>
      </c>
      <c r="H212" s="333">
        <f t="shared" si="9"/>
        <v>1</v>
      </c>
    </row>
    <row r="213" spans="3:8" x14ac:dyDescent="0.25">
      <c r="C213" s="365" t="s">
        <v>462</v>
      </c>
      <c r="D213" s="359" t="s">
        <v>411</v>
      </c>
      <c r="E213" s="358"/>
      <c r="F213" s="334">
        <v>1</v>
      </c>
      <c r="G213" s="371">
        <v>0</v>
      </c>
      <c r="H213" s="333">
        <f t="shared" si="9"/>
        <v>1</v>
      </c>
    </row>
    <row r="214" spans="3:8" x14ac:dyDescent="0.25">
      <c r="C214" s="365" t="s">
        <v>463</v>
      </c>
      <c r="D214" s="360" t="s">
        <v>411</v>
      </c>
      <c r="E214" s="358"/>
      <c r="F214" s="334">
        <v>5</v>
      </c>
      <c r="G214" s="371">
        <v>0</v>
      </c>
      <c r="H214" s="333">
        <f t="shared" si="9"/>
        <v>5</v>
      </c>
    </row>
    <row r="215" spans="3:8" x14ac:dyDescent="0.25">
      <c r="C215" s="365" t="s">
        <v>464</v>
      </c>
      <c r="D215" s="360" t="s">
        <v>411</v>
      </c>
      <c r="E215" s="358"/>
      <c r="F215" s="334">
        <v>1</v>
      </c>
      <c r="G215" s="371">
        <v>0</v>
      </c>
      <c r="H215" s="333">
        <f t="shared" si="9"/>
        <v>1</v>
      </c>
    </row>
    <row r="216" spans="3:8" x14ac:dyDescent="0.25">
      <c r="C216" s="365" t="s">
        <v>108</v>
      </c>
      <c r="D216" s="359" t="s">
        <v>411</v>
      </c>
      <c r="E216" s="358"/>
      <c r="F216" s="334">
        <v>3</v>
      </c>
      <c r="G216" s="371">
        <v>1</v>
      </c>
      <c r="H216" s="333">
        <f t="shared" si="9"/>
        <v>2</v>
      </c>
    </row>
    <row r="217" spans="3:8" x14ac:dyDescent="0.25">
      <c r="C217" s="351" t="s">
        <v>146</v>
      </c>
      <c r="D217" s="352">
        <f>D192+D183+D161+D150+D134+D103+D83+D48+D8</f>
        <v>700</v>
      </c>
      <c r="E217" s="355">
        <f>E103+E83+E48+E8</f>
        <v>333</v>
      </c>
      <c r="F217" s="354">
        <f>SUM(F193:F216)</f>
        <v>233</v>
      </c>
      <c r="G217" s="373">
        <f>SUM(G193:G216)</f>
        <v>108</v>
      </c>
      <c r="H217" s="355">
        <f>SUM(H193:H216)</f>
        <v>125</v>
      </c>
    </row>
    <row r="218" spans="3:8" x14ac:dyDescent="0.25">
      <c r="C218" s="366" t="s">
        <v>266</v>
      </c>
      <c r="D218" s="367"/>
      <c r="E218" s="367"/>
      <c r="F218" s="367"/>
      <c r="G218" s="367"/>
      <c r="H218" s="368"/>
    </row>
    <row r="219" spans="3:8" x14ac:dyDescent="0.25">
      <c r="C219" s="320"/>
      <c r="D219" s="321"/>
      <c r="E219" s="321"/>
      <c r="F219" s="377" t="s">
        <v>465</v>
      </c>
      <c r="G219" s="378" t="s">
        <v>271</v>
      </c>
      <c r="H219" s="377" t="s">
        <v>272</v>
      </c>
    </row>
    <row r="220" spans="3:8" ht="41.25" customHeight="1" x14ac:dyDescent="0.25">
      <c r="C220" s="320"/>
      <c r="D220" s="321"/>
      <c r="E220" s="321"/>
      <c r="F220" s="379"/>
      <c r="G220" s="378"/>
      <c r="H220" s="379"/>
    </row>
    <row r="221" spans="3:8" x14ac:dyDescent="0.25">
      <c r="C221" s="320"/>
      <c r="D221" s="321"/>
      <c r="E221" s="321"/>
      <c r="F221" s="380">
        <f>F217+F191+F182+F160+F149+F133+F102+F82+F47</f>
        <v>1554</v>
      </c>
      <c r="G221" s="381">
        <f>G217+G191+G182+G160+G149+G133+G102+G82+G47</f>
        <v>625</v>
      </c>
      <c r="H221" s="380">
        <f>H217+H191+H182+H160+H149+H133+H102+H82+H47</f>
        <v>929</v>
      </c>
    </row>
    <row r="222" spans="3:8" x14ac:dyDescent="0.25">
      <c r="C222" s="320"/>
      <c r="D222" s="321"/>
      <c r="E222" s="321"/>
      <c r="F222" s="382"/>
      <c r="G222" s="381"/>
      <c r="H222" s="382"/>
    </row>
    <row r="224" spans="3:8" x14ac:dyDescent="0.25">
      <c r="C224" s="314" t="s">
        <v>466</v>
      </c>
      <c r="D224" s="314"/>
      <c r="E224" s="314"/>
      <c r="F224" s="314"/>
      <c r="G224" s="314"/>
      <c r="H224" s="314"/>
    </row>
    <row r="225" spans="3:8" x14ac:dyDescent="0.25">
      <c r="C225" s="314"/>
      <c r="D225" s="314"/>
      <c r="E225" s="314"/>
      <c r="F225" s="314"/>
      <c r="G225" s="314"/>
      <c r="H225" s="314"/>
    </row>
    <row r="226" spans="3:8" x14ac:dyDescent="0.25">
      <c r="C226" s="314"/>
      <c r="D226" s="314"/>
      <c r="E226" s="314"/>
      <c r="F226" s="314"/>
      <c r="G226" s="314"/>
      <c r="H226" s="314"/>
    </row>
    <row r="227" spans="3:8" x14ac:dyDescent="0.25">
      <c r="C227" s="314"/>
      <c r="D227" s="314"/>
      <c r="E227" s="314"/>
      <c r="F227" s="314"/>
      <c r="G227" s="314"/>
      <c r="H227" s="314"/>
    </row>
  </sheetData>
  <mergeCells count="16">
    <mergeCell ref="C224:H227"/>
    <mergeCell ref="C1:H1"/>
    <mergeCell ref="C2:H2"/>
    <mergeCell ref="C5:C6"/>
    <mergeCell ref="D5:D6"/>
    <mergeCell ref="E5:E6"/>
    <mergeCell ref="F5:F6"/>
    <mergeCell ref="G5:G6"/>
    <mergeCell ref="H5:H6"/>
    <mergeCell ref="C218:H218"/>
    <mergeCell ref="F219:F220"/>
    <mergeCell ref="G219:G220"/>
    <mergeCell ref="H219:H220"/>
    <mergeCell ref="F221:F222"/>
    <mergeCell ref="G221:G222"/>
    <mergeCell ref="H221:H222"/>
  </mergeCells>
  <pageMargins left="0.51181102362204722" right="0.51181102362204722" top="0.35433070866141736" bottom="0.35433070866141736" header="0" footer="0"/>
  <pageSetup paperSize="9" scale="69" orientation="landscape" r:id="rId1"/>
  <rowBreaks count="1" manualBreakCount="1">
    <brk id="8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10"/>
  <sheetViews>
    <sheetView zoomScale="60" zoomScaleNormal="60" workbookViewId="0">
      <selection activeCell="H16" sqref="H16"/>
    </sheetView>
  </sheetViews>
  <sheetFormatPr defaultRowHeight="15" x14ac:dyDescent="0.25"/>
  <cols>
    <col min="1" max="1" width="35.42578125" customWidth="1"/>
    <col min="2" max="2" width="11.7109375" customWidth="1"/>
    <col min="3" max="3" width="11.85546875" customWidth="1"/>
    <col min="4" max="4" width="11.28515625" customWidth="1"/>
    <col min="5" max="5" width="12.5703125" customWidth="1"/>
    <col min="7" max="7" width="11" customWidth="1"/>
    <col min="8" max="8" width="12.5703125" customWidth="1"/>
    <col min="9" max="9" width="13.7109375" customWidth="1"/>
    <col min="10" max="10" width="16.140625" customWidth="1"/>
    <col min="11" max="11" width="15.42578125" customWidth="1"/>
    <col min="12" max="12" width="29.28515625" customWidth="1"/>
    <col min="13" max="13" width="14.42578125" customWidth="1"/>
    <col min="14" max="14" width="10.7109375" customWidth="1"/>
    <col min="15" max="15" width="11.140625" customWidth="1"/>
    <col min="16" max="16" width="13.7109375" customWidth="1"/>
    <col min="17" max="17" width="12.140625" customWidth="1"/>
    <col min="18" max="18" width="12.7109375" customWidth="1"/>
    <col min="19" max="19" width="14.42578125" customWidth="1"/>
    <col min="20" max="20" width="12.28515625" customWidth="1"/>
    <col min="21" max="21" width="9.140625" customWidth="1"/>
  </cols>
  <sheetData>
    <row r="1" spans="1:21" ht="30" customHeight="1" x14ac:dyDescent="0.25">
      <c r="L1" t="s">
        <v>131</v>
      </c>
    </row>
    <row r="2" spans="1:21" ht="33" customHeight="1" x14ac:dyDescent="0.25">
      <c r="A2" s="45" t="s">
        <v>150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4"/>
    </row>
    <row r="3" spans="1:21" ht="33" customHeight="1" x14ac:dyDescent="0.25">
      <c r="A3" s="45" t="s">
        <v>249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4"/>
    </row>
    <row r="4" spans="1:21" ht="15.75" thickBot="1" x14ac:dyDescent="0.3"/>
    <row r="5" spans="1:21" ht="78" customHeight="1" thickBot="1" x14ac:dyDescent="0.3">
      <c r="A5" s="147" t="s">
        <v>0</v>
      </c>
      <c r="B5" s="222" t="s">
        <v>17</v>
      </c>
      <c r="C5" s="223" t="s">
        <v>18</v>
      </c>
      <c r="D5" s="223" t="s">
        <v>19</v>
      </c>
      <c r="E5" s="223" t="s">
        <v>20</v>
      </c>
      <c r="F5" s="224" t="s">
        <v>49</v>
      </c>
      <c r="G5" s="223" t="s">
        <v>50</v>
      </c>
      <c r="H5" s="223" t="s">
        <v>51</v>
      </c>
      <c r="I5" s="223" t="s">
        <v>52</v>
      </c>
      <c r="J5" s="223" t="s">
        <v>53</v>
      </c>
      <c r="K5" s="223" t="s">
        <v>54</v>
      </c>
      <c r="L5" s="223" t="s">
        <v>4</v>
      </c>
    </row>
    <row r="6" spans="1:21" s="133" customFormat="1" x14ac:dyDescent="0.25">
      <c r="A6" s="149">
        <v>1</v>
      </c>
      <c r="B6" s="150">
        <v>2</v>
      </c>
      <c r="C6" s="150">
        <v>3</v>
      </c>
      <c r="D6" s="150">
        <v>4</v>
      </c>
      <c r="E6" s="150">
        <v>5</v>
      </c>
      <c r="F6" s="153">
        <v>6</v>
      </c>
      <c r="G6" s="151">
        <v>7</v>
      </c>
      <c r="H6" s="151">
        <v>8</v>
      </c>
      <c r="I6" s="151">
        <v>9</v>
      </c>
      <c r="J6" s="151">
        <v>10</v>
      </c>
      <c r="K6" s="151">
        <v>11</v>
      </c>
      <c r="L6" s="151">
        <v>12</v>
      </c>
      <c r="M6" s="152"/>
      <c r="N6" s="152"/>
      <c r="O6" s="152"/>
      <c r="P6" s="152"/>
      <c r="Q6" s="152"/>
      <c r="R6" s="152"/>
      <c r="S6" s="152"/>
      <c r="T6" s="152"/>
      <c r="U6" s="152"/>
    </row>
    <row r="7" spans="1:21" ht="69.75" customHeight="1" thickBot="1" x14ac:dyDescent="0.3">
      <c r="A7" s="213" t="s">
        <v>152</v>
      </c>
      <c r="B7" s="157">
        <v>1</v>
      </c>
      <c r="C7" s="54">
        <v>10</v>
      </c>
      <c r="D7" s="54">
        <v>9</v>
      </c>
      <c r="E7" s="54">
        <v>8</v>
      </c>
      <c r="F7" s="154">
        <v>1</v>
      </c>
      <c r="G7" s="214">
        <v>2000</v>
      </c>
      <c r="H7" s="215">
        <f>B7*G7/F7</f>
        <v>2000</v>
      </c>
      <c r="I7" s="215">
        <f>C7*G7/F7</f>
        <v>20000</v>
      </c>
      <c r="J7" s="215">
        <f>D7*G7/F7</f>
        <v>18000</v>
      </c>
      <c r="K7" s="215">
        <f>E7*G7/F7</f>
        <v>16000</v>
      </c>
      <c r="L7" s="2" t="s">
        <v>155</v>
      </c>
      <c r="M7" s="24"/>
      <c r="N7" s="24"/>
      <c r="O7" s="24"/>
      <c r="P7" s="24"/>
      <c r="Q7" s="24"/>
      <c r="R7" s="24"/>
      <c r="S7" s="24"/>
      <c r="T7" s="24"/>
      <c r="U7" s="24"/>
    </row>
    <row r="8" spans="1:21" ht="53.25" customHeight="1" thickBot="1" x14ac:dyDescent="0.3">
      <c r="A8" s="209" t="s">
        <v>153</v>
      </c>
      <c r="B8" s="157">
        <v>21</v>
      </c>
      <c r="C8" s="54">
        <v>179</v>
      </c>
      <c r="D8" s="54">
        <v>173</v>
      </c>
      <c r="E8" s="54">
        <v>116</v>
      </c>
      <c r="F8" s="155">
        <v>1</v>
      </c>
      <c r="G8" s="216">
        <v>250</v>
      </c>
      <c r="H8" s="215">
        <f>B8*G8/F8</f>
        <v>5250</v>
      </c>
      <c r="I8" s="215">
        <f>C8*G8/F8</f>
        <v>44750</v>
      </c>
      <c r="J8" s="215">
        <f>D8*G8/F8</f>
        <v>43250</v>
      </c>
      <c r="K8" s="215">
        <f>E8*G8/F8</f>
        <v>29000</v>
      </c>
      <c r="L8" s="2" t="s">
        <v>157</v>
      </c>
      <c r="M8" s="24"/>
      <c r="N8" s="24"/>
      <c r="O8" s="24"/>
      <c r="P8" s="24"/>
      <c r="Q8" s="24"/>
      <c r="R8" s="24"/>
      <c r="S8" s="24"/>
      <c r="T8" s="24"/>
      <c r="U8" s="24"/>
    </row>
    <row r="9" spans="1:21" ht="58.5" customHeight="1" thickBot="1" x14ac:dyDescent="0.3">
      <c r="A9" s="158" t="s">
        <v>154</v>
      </c>
      <c r="B9" s="157">
        <v>21</v>
      </c>
      <c r="C9" s="54">
        <v>179</v>
      </c>
      <c r="D9" s="54">
        <v>173</v>
      </c>
      <c r="E9" s="54">
        <v>116</v>
      </c>
      <c r="F9" s="155">
        <v>1</v>
      </c>
      <c r="G9" s="214">
        <v>1600</v>
      </c>
      <c r="H9" s="215">
        <f>B9*G9/F9</f>
        <v>33600</v>
      </c>
      <c r="I9" s="215">
        <f>C9*G9/F9</f>
        <v>286400</v>
      </c>
      <c r="J9" s="215">
        <f>D9*G9/F9</f>
        <v>276800</v>
      </c>
      <c r="K9" s="215">
        <f>E9*G9/F9</f>
        <v>185600</v>
      </c>
      <c r="L9" s="2" t="s">
        <v>156</v>
      </c>
    </row>
    <row r="10" spans="1:21" s="109" customFormat="1" x14ac:dyDescent="0.25">
      <c r="A10" s="107"/>
      <c r="B10" s="108"/>
      <c r="C10" s="108"/>
      <c r="D10" s="108"/>
      <c r="E10" s="108"/>
      <c r="F10" s="156"/>
      <c r="G10" s="108" t="s">
        <v>146</v>
      </c>
      <c r="H10" s="217">
        <f>H7+H8+H9</f>
        <v>40850</v>
      </c>
      <c r="I10" s="217">
        <f t="shared" ref="I10:K10" si="0">I7+I8+I9</f>
        <v>351150</v>
      </c>
      <c r="J10" s="217">
        <f t="shared" si="0"/>
        <v>338050</v>
      </c>
      <c r="K10" s="217">
        <f t="shared" si="0"/>
        <v>230600</v>
      </c>
      <c r="L10" s="108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31"/>
  <sheetViews>
    <sheetView zoomScale="60" zoomScaleNormal="60" workbookViewId="0">
      <selection activeCell="H32" sqref="H32"/>
    </sheetView>
  </sheetViews>
  <sheetFormatPr defaultRowHeight="15" x14ac:dyDescent="0.25"/>
  <cols>
    <col min="1" max="1" width="35.42578125" customWidth="1"/>
    <col min="2" max="2" width="11.7109375" customWidth="1"/>
    <col min="3" max="3" width="11.85546875" customWidth="1"/>
    <col min="4" max="4" width="17.28515625" customWidth="1"/>
    <col min="5" max="5" width="47.140625" customWidth="1"/>
    <col min="6" max="6" width="14.42578125" customWidth="1"/>
    <col min="7" max="7" width="10.7109375" customWidth="1"/>
    <col min="8" max="8" width="11.140625" customWidth="1"/>
    <col min="9" max="9" width="13.7109375" customWidth="1"/>
    <col min="10" max="10" width="12.140625" customWidth="1"/>
    <col min="11" max="11" width="12.7109375" customWidth="1"/>
    <col min="12" max="12" width="14.42578125" customWidth="1"/>
    <col min="13" max="13" width="12.28515625" customWidth="1"/>
    <col min="14" max="14" width="9.140625" customWidth="1"/>
  </cols>
  <sheetData>
    <row r="1" spans="1:14" ht="30" customHeight="1" x14ac:dyDescent="0.25">
      <c r="E1" s="160" t="s">
        <v>131</v>
      </c>
    </row>
    <row r="2" spans="1:14" ht="33" customHeight="1" x14ac:dyDescent="0.25">
      <c r="A2" s="45"/>
      <c r="B2" s="45"/>
      <c r="C2" s="45"/>
      <c r="D2" s="45"/>
      <c r="E2" s="45"/>
      <c r="F2" s="45"/>
      <c r="G2" s="44"/>
    </row>
    <row r="3" spans="1:14" ht="48" customHeight="1" x14ac:dyDescent="0.25">
      <c r="A3" s="312" t="s">
        <v>232</v>
      </c>
      <c r="B3" s="312"/>
      <c r="C3" s="312"/>
      <c r="D3" s="312"/>
      <c r="E3" s="312"/>
      <c r="F3" s="45"/>
      <c r="G3" s="44"/>
    </row>
    <row r="4" spans="1:14" ht="15.75" thickBot="1" x14ac:dyDescent="0.3"/>
    <row r="5" spans="1:14" ht="78" customHeight="1" x14ac:dyDescent="0.25">
      <c r="A5" s="147" t="s">
        <v>0</v>
      </c>
      <c r="B5" s="222" t="s">
        <v>158</v>
      </c>
      <c r="C5" s="223" t="s">
        <v>159</v>
      </c>
      <c r="D5" s="223" t="s">
        <v>160</v>
      </c>
      <c r="E5" s="223" t="s">
        <v>161</v>
      </c>
    </row>
    <row r="6" spans="1:14" s="133" customFormat="1" x14ac:dyDescent="0.25">
      <c r="A6" s="149">
        <v>1</v>
      </c>
      <c r="B6" s="150">
        <v>2</v>
      </c>
      <c r="C6" s="150">
        <v>3</v>
      </c>
      <c r="D6" s="150">
        <v>4</v>
      </c>
      <c r="E6" s="151">
        <v>5</v>
      </c>
      <c r="F6" s="152"/>
      <c r="G6" s="152"/>
      <c r="H6" s="152"/>
      <c r="I6" s="152"/>
      <c r="J6" s="152"/>
      <c r="K6" s="152"/>
      <c r="L6" s="152"/>
      <c r="M6" s="152"/>
      <c r="N6" s="152"/>
    </row>
    <row r="7" spans="1:14" ht="22.5" customHeight="1" x14ac:dyDescent="0.25">
      <c r="A7" s="286" t="s">
        <v>162</v>
      </c>
      <c r="B7" s="287"/>
      <c r="C7" s="287"/>
      <c r="D7" s="287"/>
      <c r="E7" s="288"/>
      <c r="F7" s="24"/>
      <c r="G7" s="24"/>
      <c r="H7" s="24"/>
      <c r="I7" s="24"/>
      <c r="J7" s="24"/>
      <c r="K7" s="24"/>
      <c r="L7" s="24"/>
      <c r="M7" s="24"/>
      <c r="N7" s="24"/>
    </row>
    <row r="8" spans="1:14" ht="39" customHeight="1" x14ac:dyDescent="0.25">
      <c r="A8" s="211" t="s">
        <v>163</v>
      </c>
      <c r="B8" s="194">
        <f>D8/C8</f>
        <v>16539.915317559153</v>
      </c>
      <c r="C8" s="199">
        <v>4.0149999999999997</v>
      </c>
      <c r="D8" s="197">
        <v>66407.759999999995</v>
      </c>
      <c r="E8" s="159" t="s">
        <v>233</v>
      </c>
      <c r="F8" s="24"/>
      <c r="G8" s="24"/>
      <c r="H8" s="24"/>
      <c r="I8" s="24"/>
      <c r="J8" s="24"/>
      <c r="K8" s="24"/>
      <c r="L8" s="24"/>
      <c r="M8" s="24"/>
      <c r="N8" s="24"/>
    </row>
    <row r="9" spans="1:14" ht="21.75" customHeight="1" thickBot="1" x14ac:dyDescent="0.3">
      <c r="A9" s="15" t="s">
        <v>164</v>
      </c>
      <c r="B9" s="206">
        <f t="shared" ref="B9:B12" si="0">D9/C9</f>
        <v>39.528516884607015</v>
      </c>
      <c r="C9" s="196">
        <v>1516.47</v>
      </c>
      <c r="D9" s="200">
        <v>59943.81</v>
      </c>
      <c r="E9" s="159" t="s">
        <v>234</v>
      </c>
      <c r="F9" s="24"/>
      <c r="G9" s="24"/>
      <c r="H9" s="24"/>
      <c r="I9" s="24"/>
      <c r="J9" s="24"/>
      <c r="K9" s="24"/>
      <c r="L9" s="24"/>
      <c r="M9" s="24"/>
      <c r="N9" s="24"/>
    </row>
    <row r="10" spans="1:14" ht="15" customHeight="1" x14ac:dyDescent="0.25">
      <c r="A10" s="64" t="s">
        <v>165</v>
      </c>
      <c r="B10" s="206">
        <f t="shared" si="0"/>
        <v>45.632107023411365</v>
      </c>
      <c r="C10" s="196">
        <v>2.99</v>
      </c>
      <c r="D10" s="197">
        <v>136.44</v>
      </c>
      <c r="E10" s="159" t="s">
        <v>235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1.75" customHeight="1" thickBot="1" x14ac:dyDescent="0.3">
      <c r="A11" s="15" t="s">
        <v>166</v>
      </c>
      <c r="B11" s="206">
        <f t="shared" si="0"/>
        <v>449.53044432254529</v>
      </c>
      <c r="C11" s="196">
        <v>18.23</v>
      </c>
      <c r="D11" s="200">
        <v>8194.94</v>
      </c>
      <c r="E11" s="159" t="s">
        <v>236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2.5" customHeight="1" thickBot="1" x14ac:dyDescent="0.3">
      <c r="A12" s="158" t="s">
        <v>167</v>
      </c>
      <c r="B12" s="206">
        <f t="shared" si="0"/>
        <v>449.66696191319755</v>
      </c>
      <c r="C12" s="196">
        <v>11.29</v>
      </c>
      <c r="D12" s="200">
        <v>5076.74</v>
      </c>
      <c r="E12" s="159" t="s">
        <v>237</v>
      </c>
    </row>
    <row r="13" spans="1:14" s="109" customFormat="1" x14ac:dyDescent="0.25">
      <c r="A13" s="107" t="s">
        <v>168</v>
      </c>
      <c r="B13" s="198" t="s">
        <v>169</v>
      </c>
      <c r="C13" s="198" t="s">
        <v>169</v>
      </c>
      <c r="D13" s="207">
        <f>D8+D9+D10+D11+D12</f>
        <v>139759.68999999997</v>
      </c>
      <c r="E13" s="159"/>
    </row>
    <row r="14" spans="1:14" x14ac:dyDescent="0.25">
      <c r="A14" s="286" t="s">
        <v>170</v>
      </c>
      <c r="B14" s="287"/>
      <c r="C14" s="287"/>
      <c r="D14" s="287"/>
      <c r="E14" s="288"/>
    </row>
    <row r="15" spans="1:14" x14ac:dyDescent="0.25">
      <c r="A15" s="64" t="s">
        <v>171</v>
      </c>
      <c r="B15" s="195">
        <f>D15/C15</f>
        <v>0.36222936763129687</v>
      </c>
      <c r="C15" s="196">
        <v>2332.5</v>
      </c>
      <c r="D15" s="197">
        <v>844.9</v>
      </c>
      <c r="E15" s="159" t="s">
        <v>160</v>
      </c>
    </row>
    <row r="16" spans="1:14" ht="24.75" customHeight="1" thickBot="1" x14ac:dyDescent="0.3">
      <c r="A16" s="15" t="s">
        <v>172</v>
      </c>
      <c r="B16" s="195">
        <f t="shared" ref="B16:B22" si="1">D16/C16</f>
        <v>0.36222727272727273</v>
      </c>
      <c r="C16" s="196">
        <v>440</v>
      </c>
      <c r="D16" s="197">
        <v>159.38</v>
      </c>
      <c r="E16" s="159" t="s">
        <v>160</v>
      </c>
    </row>
    <row r="17" spans="1:5" ht="30" x14ac:dyDescent="0.25">
      <c r="A17" s="148" t="s">
        <v>173</v>
      </c>
      <c r="B17" s="195">
        <f t="shared" si="1"/>
        <v>0.3622285714285714</v>
      </c>
      <c r="C17" s="196">
        <v>4200</v>
      </c>
      <c r="D17" s="197">
        <v>1521.36</v>
      </c>
      <c r="E17" s="159" t="s">
        <v>160</v>
      </c>
    </row>
    <row r="18" spans="1:5" ht="30.75" thickBot="1" x14ac:dyDescent="0.3">
      <c r="A18" s="15" t="s">
        <v>174</v>
      </c>
      <c r="B18" s="195">
        <f t="shared" si="1"/>
        <v>0.3622285714285714</v>
      </c>
      <c r="C18" s="196">
        <v>4200</v>
      </c>
      <c r="D18" s="197">
        <v>1521.36</v>
      </c>
      <c r="E18" s="159" t="s">
        <v>160</v>
      </c>
    </row>
    <row r="19" spans="1:5" ht="30.75" thickBot="1" x14ac:dyDescent="0.3">
      <c r="A19" s="158" t="s">
        <v>176</v>
      </c>
      <c r="B19" s="195">
        <f t="shared" si="1"/>
        <v>0.36222857142857146</v>
      </c>
      <c r="C19" s="196">
        <v>2800</v>
      </c>
      <c r="D19" s="197">
        <v>1014.24</v>
      </c>
      <c r="E19" s="159" t="s">
        <v>160</v>
      </c>
    </row>
    <row r="20" spans="1:5" ht="45.75" thickBot="1" x14ac:dyDescent="0.3">
      <c r="A20" s="158" t="s">
        <v>178</v>
      </c>
      <c r="B20" s="195">
        <f t="shared" si="1"/>
        <v>0.3622293731638126</v>
      </c>
      <c r="C20" s="196">
        <v>3064.0254</v>
      </c>
      <c r="D20" s="197">
        <v>1109.8800000000001</v>
      </c>
      <c r="E20" s="159" t="s">
        <v>160</v>
      </c>
    </row>
    <row r="21" spans="1:5" ht="30.75" thickBot="1" x14ac:dyDescent="0.3">
      <c r="A21" s="158" t="s">
        <v>179</v>
      </c>
      <c r="B21" s="195">
        <f t="shared" si="1"/>
        <v>0.36223428542438235</v>
      </c>
      <c r="C21" s="196">
        <v>1576.88</v>
      </c>
      <c r="D21" s="197">
        <v>571.20000000000005</v>
      </c>
      <c r="E21" s="159" t="s">
        <v>160</v>
      </c>
    </row>
    <row r="22" spans="1:5" ht="30.75" thickBot="1" x14ac:dyDescent="0.3">
      <c r="A22" s="158" t="s">
        <v>180</v>
      </c>
      <c r="B22" s="195">
        <f t="shared" si="1"/>
        <v>0.36222886280601824</v>
      </c>
      <c r="C22" s="196">
        <v>5561.76</v>
      </c>
      <c r="D22" s="197">
        <v>2014.63</v>
      </c>
      <c r="E22" s="159" t="s">
        <v>160</v>
      </c>
    </row>
    <row r="23" spans="1:5" x14ac:dyDescent="0.25">
      <c r="A23" s="107" t="s">
        <v>175</v>
      </c>
      <c r="B23" s="198" t="s">
        <v>169</v>
      </c>
      <c r="C23" s="198" t="s">
        <v>169</v>
      </c>
      <c r="D23" s="191">
        <f>SUM(D15:D22)</f>
        <v>8756.9500000000007</v>
      </c>
      <c r="E23" s="108"/>
    </row>
    <row r="24" spans="1:5" ht="30" customHeight="1" x14ac:dyDescent="0.25">
      <c r="A24" s="290" t="s">
        <v>181</v>
      </c>
      <c r="B24" s="291"/>
      <c r="C24" s="291"/>
      <c r="D24" s="291"/>
      <c r="E24" s="292"/>
    </row>
    <row r="25" spans="1:5" ht="72.75" customHeight="1" x14ac:dyDescent="0.25">
      <c r="A25" s="212" t="s">
        <v>182</v>
      </c>
      <c r="B25" s="218">
        <v>0.4</v>
      </c>
      <c r="C25" s="203">
        <v>45266.05</v>
      </c>
      <c r="D25" s="219">
        <f>B25*C25</f>
        <v>18106.420000000002</v>
      </c>
      <c r="E25" s="2" t="s">
        <v>183</v>
      </c>
    </row>
    <row r="26" spans="1:5" x14ac:dyDescent="0.25">
      <c r="A26" s="107" t="s">
        <v>190</v>
      </c>
      <c r="B26" s="198" t="s">
        <v>169</v>
      </c>
      <c r="C26" s="198" t="s">
        <v>169</v>
      </c>
      <c r="D26" s="191">
        <f>D25</f>
        <v>18106.420000000002</v>
      </c>
      <c r="E26" s="108"/>
    </row>
    <row r="27" spans="1:5" x14ac:dyDescent="0.25">
      <c r="A27" s="290" t="s">
        <v>191</v>
      </c>
      <c r="B27" s="291"/>
      <c r="C27" s="291"/>
      <c r="D27" s="291"/>
      <c r="E27" s="292"/>
    </row>
    <row r="28" spans="1:5" s="172" customFormat="1" x14ac:dyDescent="0.25">
      <c r="A28" s="170" t="s">
        <v>238</v>
      </c>
      <c r="B28" s="202">
        <f>D28/C28</f>
        <v>100.05217065565139</v>
      </c>
      <c r="C28" s="196">
        <v>987.72</v>
      </c>
      <c r="D28" s="197">
        <v>98823.53</v>
      </c>
      <c r="E28" s="171"/>
    </row>
    <row r="29" spans="1:5" ht="13.5" customHeight="1" x14ac:dyDescent="0.25">
      <c r="A29" s="148" t="s">
        <v>192</v>
      </c>
      <c r="B29" s="202">
        <f>D29/C29</f>
        <v>40.844556827255786</v>
      </c>
      <c r="C29" s="196">
        <v>37.57</v>
      </c>
      <c r="D29" s="197">
        <v>1534.53</v>
      </c>
      <c r="E29" s="159" t="s">
        <v>160</v>
      </c>
    </row>
    <row r="30" spans="1:5" x14ac:dyDescent="0.25">
      <c r="A30" s="148" t="s">
        <v>193</v>
      </c>
      <c r="B30" s="202">
        <f t="shared" ref="B30" si="2">D30/C30</f>
        <v>36.866666666666667</v>
      </c>
      <c r="C30" s="196">
        <v>42</v>
      </c>
      <c r="D30" s="197">
        <v>1548.4</v>
      </c>
      <c r="E30" s="159" t="s">
        <v>160</v>
      </c>
    </row>
    <row r="31" spans="1:5" x14ac:dyDescent="0.25">
      <c r="A31" s="107" t="s">
        <v>247</v>
      </c>
      <c r="B31" s="198" t="s">
        <v>169</v>
      </c>
      <c r="C31" s="198" t="s">
        <v>169</v>
      </c>
      <c r="D31" s="191">
        <f>D29+D30+D28</f>
        <v>101906.45999999999</v>
      </c>
      <c r="E31" s="108"/>
    </row>
  </sheetData>
  <mergeCells count="5">
    <mergeCell ref="A3:E3"/>
    <mergeCell ref="A7:E7"/>
    <mergeCell ref="A14:E14"/>
    <mergeCell ref="A24:E24"/>
    <mergeCell ref="A27:E2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10"/>
  <sheetViews>
    <sheetView zoomScale="70" zoomScaleNormal="70" workbookViewId="0">
      <selection activeCell="A13" sqref="A13"/>
    </sheetView>
  </sheetViews>
  <sheetFormatPr defaultRowHeight="15" x14ac:dyDescent="0.25"/>
  <cols>
    <col min="1" max="1" width="35.42578125" customWidth="1"/>
    <col min="2" max="2" width="20" customWidth="1"/>
    <col min="3" max="3" width="17.85546875" customWidth="1"/>
    <col min="4" max="4" width="21.28515625" customWidth="1"/>
    <col min="5" max="5" width="19" customWidth="1"/>
    <col min="6" max="6" width="15.28515625" customWidth="1"/>
    <col min="7" max="7" width="17.5703125" customWidth="1"/>
    <col min="8" max="8" width="14" customWidth="1"/>
    <col min="9" max="9" width="13.140625" customWidth="1"/>
    <col min="10" max="10" width="13.28515625" customWidth="1"/>
    <col min="11" max="11" width="13.5703125" customWidth="1"/>
    <col min="12" max="12" width="14.28515625" customWidth="1"/>
    <col min="13" max="13" width="19.28515625" customWidth="1"/>
    <col min="14" max="14" width="14.42578125" customWidth="1"/>
    <col min="15" max="15" width="10.7109375" customWidth="1"/>
    <col min="16" max="16" width="11.140625" customWidth="1"/>
    <col min="17" max="17" width="13.7109375" customWidth="1"/>
    <col min="18" max="18" width="12.140625" customWidth="1"/>
    <col min="19" max="19" width="12.7109375" customWidth="1"/>
    <col min="20" max="20" width="14.42578125" customWidth="1"/>
    <col min="21" max="21" width="12.28515625" customWidth="1"/>
    <col min="22" max="22" width="9.140625" customWidth="1"/>
  </cols>
  <sheetData>
    <row r="1" spans="1:22" ht="30" customHeight="1" x14ac:dyDescent="0.25">
      <c r="M1" t="s">
        <v>131</v>
      </c>
    </row>
    <row r="2" spans="1:22" ht="33" customHeight="1" x14ac:dyDescent="0.25">
      <c r="A2" s="45" t="s">
        <v>195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</row>
    <row r="3" spans="1:22" ht="15.75" thickBot="1" x14ac:dyDescent="0.3"/>
    <row r="4" spans="1:22" ht="89.25" customHeight="1" x14ac:dyDescent="0.25">
      <c r="A4" s="147" t="s">
        <v>0</v>
      </c>
      <c r="B4" s="147" t="s">
        <v>160</v>
      </c>
      <c r="C4" s="226" t="s">
        <v>196</v>
      </c>
      <c r="D4" s="222" t="s">
        <v>197</v>
      </c>
      <c r="E4" s="222" t="s">
        <v>198</v>
      </c>
      <c r="F4" s="222" t="s">
        <v>199</v>
      </c>
      <c r="G4" s="222" t="s">
        <v>200</v>
      </c>
      <c r="H4" s="223" t="s">
        <v>201</v>
      </c>
      <c r="I4" s="223" t="s">
        <v>202</v>
      </c>
      <c r="J4" s="223" t="s">
        <v>203</v>
      </c>
      <c r="K4" s="223" t="s">
        <v>204</v>
      </c>
      <c r="L4" s="223" t="s">
        <v>205</v>
      </c>
      <c r="M4" s="223" t="s">
        <v>4</v>
      </c>
    </row>
    <row r="5" spans="1:22" x14ac:dyDescent="0.25">
      <c r="A5" s="60">
        <v>1</v>
      </c>
      <c r="B5" s="60">
        <v>2</v>
      </c>
      <c r="C5" s="60">
        <v>3</v>
      </c>
      <c r="D5" s="65">
        <v>4</v>
      </c>
      <c r="E5" s="65">
        <f>D5+1</f>
        <v>5</v>
      </c>
      <c r="F5" s="65">
        <f t="shared" ref="F5:G5" si="0">E5+1</f>
        <v>6</v>
      </c>
      <c r="G5" s="65">
        <f t="shared" si="0"/>
        <v>7</v>
      </c>
      <c r="H5" s="65" t="s">
        <v>240</v>
      </c>
      <c r="I5" s="65" t="s">
        <v>211</v>
      </c>
      <c r="J5" s="65" t="s">
        <v>212</v>
      </c>
      <c r="K5" s="65" t="s">
        <v>213</v>
      </c>
      <c r="L5" s="65" t="s">
        <v>214</v>
      </c>
      <c r="M5" s="65">
        <v>13</v>
      </c>
      <c r="N5" s="24"/>
      <c r="O5" s="24"/>
      <c r="P5" s="24"/>
      <c r="Q5" s="24"/>
      <c r="R5" s="24"/>
      <c r="S5" s="24"/>
      <c r="T5" s="24"/>
      <c r="U5" s="24"/>
      <c r="V5" s="24"/>
    </row>
    <row r="6" spans="1:22" ht="15.75" customHeight="1" thickBot="1" x14ac:dyDescent="0.3">
      <c r="A6" s="225" t="s">
        <v>206</v>
      </c>
      <c r="B6" s="259">
        <f>'Коммун услуги худ.гим'!D13</f>
        <v>139759.68999999997</v>
      </c>
      <c r="C6" s="263">
        <f>298*15</f>
        <v>4470</v>
      </c>
      <c r="D6" s="264">
        <f>9*52</f>
        <v>468</v>
      </c>
      <c r="E6" s="265">
        <f>20*52</f>
        <v>1040</v>
      </c>
      <c r="F6" s="265">
        <f>28*52</f>
        <v>1456</v>
      </c>
      <c r="G6" s="265">
        <f>32*52</f>
        <v>1664</v>
      </c>
      <c r="H6" s="193">
        <f>B6/C6/25</f>
        <v>1.250645995525727</v>
      </c>
      <c r="I6" s="236">
        <f>D6*H6</f>
        <v>585.30232590604021</v>
      </c>
      <c r="J6" s="236">
        <f>E6*H6</f>
        <v>1300.6718353467561</v>
      </c>
      <c r="K6" s="236">
        <f>F6*H6</f>
        <v>1820.9405694854586</v>
      </c>
      <c r="L6" s="237">
        <f>G6*H6</f>
        <v>2081.0749365548095</v>
      </c>
      <c r="M6" s="282" t="s">
        <v>239</v>
      </c>
      <c r="N6" s="24"/>
      <c r="O6" s="24"/>
      <c r="P6" s="24"/>
      <c r="Q6" s="24"/>
      <c r="R6" s="24"/>
      <c r="S6" s="24"/>
      <c r="T6" s="24"/>
      <c r="U6" s="24"/>
      <c r="V6" s="24"/>
    </row>
    <row r="7" spans="1:22" ht="67.5" customHeight="1" thickBot="1" x14ac:dyDescent="0.3">
      <c r="A7" s="209" t="s">
        <v>207</v>
      </c>
      <c r="B7" s="192">
        <f>'Коммун услуги худ.гим'!D23</f>
        <v>8756.9500000000007</v>
      </c>
      <c r="C7" s="263">
        <f t="shared" ref="C7:C9" si="1">298*15</f>
        <v>4470</v>
      </c>
      <c r="D7" s="264">
        <f t="shared" ref="D7:D9" si="2">9*52</f>
        <v>468</v>
      </c>
      <c r="E7" s="265">
        <f t="shared" ref="E7:E9" si="3">20*52</f>
        <v>1040</v>
      </c>
      <c r="F7" s="265">
        <f t="shared" ref="F7:F9" si="4">28*52</f>
        <v>1456</v>
      </c>
      <c r="G7" s="265">
        <f t="shared" ref="G7:G9" si="5">32*52</f>
        <v>1664</v>
      </c>
      <c r="H7" s="193">
        <f t="shared" ref="H7:H9" si="6">B7/C7/25</f>
        <v>7.8361968680089489E-2</v>
      </c>
      <c r="I7" s="236">
        <f t="shared" ref="I7:I9" si="7">D7*H7</f>
        <v>36.673401342281878</v>
      </c>
      <c r="J7" s="236">
        <f t="shared" ref="J7:J9" si="8">E7*H7</f>
        <v>81.496447427293063</v>
      </c>
      <c r="K7" s="236">
        <f t="shared" ref="K7:K9" si="9">F7*H7</f>
        <v>114.09502639821029</v>
      </c>
      <c r="L7" s="237">
        <f t="shared" ref="L7:L9" si="10">G7*H7</f>
        <v>130.39431588366892</v>
      </c>
      <c r="M7" s="283"/>
      <c r="N7" s="24"/>
      <c r="O7" s="24"/>
      <c r="P7" s="24"/>
      <c r="Q7" s="24"/>
      <c r="R7" s="24"/>
      <c r="S7" s="24"/>
      <c r="T7" s="24"/>
      <c r="U7" s="24"/>
      <c r="V7" s="24"/>
    </row>
    <row r="8" spans="1:22" ht="60.75" thickBot="1" x14ac:dyDescent="0.3">
      <c r="A8" s="158" t="s">
        <v>182</v>
      </c>
      <c r="B8" s="192">
        <f>'Коммун услуги худ.гим'!D26</f>
        <v>18106.420000000002</v>
      </c>
      <c r="C8" s="263">
        <f t="shared" si="1"/>
        <v>4470</v>
      </c>
      <c r="D8" s="264">
        <f t="shared" si="2"/>
        <v>468</v>
      </c>
      <c r="E8" s="265">
        <f t="shared" si="3"/>
        <v>1040</v>
      </c>
      <c r="F8" s="265">
        <f t="shared" si="4"/>
        <v>1456</v>
      </c>
      <c r="G8" s="265">
        <f t="shared" si="5"/>
        <v>1664</v>
      </c>
      <c r="H8" s="193">
        <f t="shared" si="6"/>
        <v>0.162026129753915</v>
      </c>
      <c r="I8" s="236">
        <f t="shared" si="7"/>
        <v>75.828228724832229</v>
      </c>
      <c r="J8" s="236">
        <f t="shared" si="8"/>
        <v>168.50717494407161</v>
      </c>
      <c r="K8" s="236">
        <f t="shared" si="9"/>
        <v>235.91004492170023</v>
      </c>
      <c r="L8" s="237">
        <f t="shared" si="10"/>
        <v>269.61147991051456</v>
      </c>
      <c r="M8" s="283"/>
    </row>
    <row r="9" spans="1:22" ht="66" customHeight="1" thickBot="1" x14ac:dyDescent="0.3">
      <c r="A9" s="209" t="s">
        <v>208</v>
      </c>
      <c r="B9" s="192">
        <f>'Коммун услуги худ.гим'!D31</f>
        <v>101906.45999999999</v>
      </c>
      <c r="C9" s="263">
        <f t="shared" si="1"/>
        <v>4470</v>
      </c>
      <c r="D9" s="264">
        <f t="shared" si="2"/>
        <v>468</v>
      </c>
      <c r="E9" s="265">
        <f t="shared" si="3"/>
        <v>1040</v>
      </c>
      <c r="F9" s="265">
        <f t="shared" si="4"/>
        <v>1456</v>
      </c>
      <c r="G9" s="265">
        <f t="shared" si="5"/>
        <v>1664</v>
      </c>
      <c r="H9" s="193">
        <f t="shared" si="6"/>
        <v>0.91191463087248303</v>
      </c>
      <c r="I9" s="236">
        <f t="shared" si="7"/>
        <v>426.77604724832207</v>
      </c>
      <c r="J9" s="236">
        <f t="shared" si="8"/>
        <v>948.39121610738232</v>
      </c>
      <c r="K9" s="236">
        <f t="shared" si="9"/>
        <v>1327.7477025503354</v>
      </c>
      <c r="L9" s="237">
        <f t="shared" si="10"/>
        <v>1517.4259457718117</v>
      </c>
      <c r="M9" s="284"/>
    </row>
    <row r="10" spans="1:22" s="109" customFormat="1" x14ac:dyDescent="0.25">
      <c r="A10" s="107" t="s">
        <v>148</v>
      </c>
      <c r="B10" s="198" t="s">
        <v>209</v>
      </c>
      <c r="C10" s="198" t="s">
        <v>209</v>
      </c>
      <c r="D10" s="198" t="s">
        <v>209</v>
      </c>
      <c r="E10" s="198" t="s">
        <v>209</v>
      </c>
      <c r="F10" s="198" t="s">
        <v>209</v>
      </c>
      <c r="G10" s="198" t="s">
        <v>209</v>
      </c>
      <c r="H10" s="198" t="s">
        <v>209</v>
      </c>
      <c r="I10" s="217">
        <f>SUM(I6:I9)</f>
        <v>1124.5800032214763</v>
      </c>
      <c r="J10" s="217">
        <f t="shared" ref="J10:L10" si="11">SUM(J6:J9)</f>
        <v>2499.0666738255031</v>
      </c>
      <c r="K10" s="217">
        <f t="shared" si="11"/>
        <v>3498.6933433557047</v>
      </c>
      <c r="L10" s="217">
        <f t="shared" si="11"/>
        <v>3998.5066781208043</v>
      </c>
      <c r="M10" s="131"/>
    </row>
  </sheetData>
  <mergeCells count="1">
    <mergeCell ref="M6:M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9"/>
  <sheetViews>
    <sheetView zoomScale="70" zoomScaleNormal="70" workbookViewId="0">
      <selection activeCell="C4" sqref="C4:D4"/>
    </sheetView>
  </sheetViews>
  <sheetFormatPr defaultRowHeight="12.75" x14ac:dyDescent="0.2"/>
  <cols>
    <col min="1" max="1" width="17.140625" style="163" customWidth="1"/>
    <col min="2" max="2" width="15.7109375" style="163" customWidth="1"/>
    <col min="3" max="3" width="17.85546875" style="163" customWidth="1"/>
    <col min="4" max="4" width="17.7109375" style="163" customWidth="1"/>
    <col min="5" max="5" width="18.7109375" style="163" customWidth="1"/>
    <col min="6" max="6" width="16.85546875" style="163" customWidth="1"/>
    <col min="7" max="7" width="22" style="163" customWidth="1"/>
    <col min="8" max="11" width="9.28515625" style="163" bestFit="1" customWidth="1"/>
    <col min="12" max="13" width="10.5703125" style="163" bestFit="1" customWidth="1"/>
    <col min="14" max="16384" width="9.140625" style="163"/>
  </cols>
  <sheetData>
    <row r="2" spans="1:13" s="169" customFormat="1" ht="13.5" thickBot="1" x14ac:dyDescent="0.25">
      <c r="A2" s="169" t="s">
        <v>241</v>
      </c>
    </row>
    <row r="3" spans="1:13" ht="46.5" customHeight="1" thickBot="1" x14ac:dyDescent="0.25">
      <c r="A3" s="274" t="s">
        <v>216</v>
      </c>
      <c r="B3" s="276" t="s">
        <v>217</v>
      </c>
      <c r="C3" s="277"/>
      <c r="D3" s="278"/>
      <c r="E3" s="274" t="s">
        <v>218</v>
      </c>
      <c r="F3" s="274" t="s">
        <v>219</v>
      </c>
      <c r="G3" s="279" t="s">
        <v>4</v>
      </c>
    </row>
    <row r="4" spans="1:13" ht="57.75" customHeight="1" thickBot="1" x14ac:dyDescent="0.25">
      <c r="A4" s="275"/>
      <c r="B4" s="164" t="s">
        <v>220</v>
      </c>
      <c r="C4" s="167" t="s">
        <v>221</v>
      </c>
      <c r="D4" s="167" t="s">
        <v>222</v>
      </c>
      <c r="E4" s="275"/>
      <c r="F4" s="275"/>
      <c r="G4" s="280"/>
    </row>
    <row r="5" spans="1:13" ht="13.5" thickBot="1" x14ac:dyDescent="0.25">
      <c r="A5" s="164" t="s">
        <v>223</v>
      </c>
      <c r="B5" s="164">
        <v>2</v>
      </c>
      <c r="C5" s="166"/>
      <c r="D5" s="164" t="s">
        <v>224</v>
      </c>
      <c r="E5" s="164" t="s">
        <v>225</v>
      </c>
      <c r="F5" s="164" t="s">
        <v>246</v>
      </c>
      <c r="G5" s="281"/>
      <c r="H5" s="272"/>
      <c r="I5" s="273"/>
      <c r="J5" s="273"/>
    </row>
    <row r="6" spans="1:13" ht="90" thickBot="1" x14ac:dyDescent="0.25">
      <c r="A6" s="210" t="s">
        <v>242</v>
      </c>
      <c r="B6" s="185">
        <f>'БазНорм на ОТ худ. гимнастика'!G7+'БазНорм на ОТ худ. гимнастика'!G8</f>
        <v>37265.130700000002</v>
      </c>
      <c r="C6" s="185">
        <f>'Нормы МатЗапасов худ. гимна'!P15+'Нормы МатЗапасов худ. гимна'!P35+'Нормы МатЗапасов худ. гимна'!P41+'Нормы МатЗапасов худ. гимна'!X63</f>
        <v>60850.264550264546</v>
      </c>
      <c r="D6" s="185">
        <f>'Трен. мер. и мед. обслуж худ ги'!H10</f>
        <v>40850</v>
      </c>
      <c r="E6" s="185">
        <f>'общехозяйственные худ. гим.'!I10</f>
        <v>1124.5800032214763</v>
      </c>
      <c r="F6" s="185">
        <f>B6+D6+E6+C6</f>
        <v>140089.97525348602</v>
      </c>
      <c r="G6" s="167" t="s">
        <v>226</v>
      </c>
      <c r="H6" s="168"/>
      <c r="I6" s="168"/>
      <c r="J6" s="168"/>
      <c r="K6" s="168"/>
      <c r="L6" s="168"/>
      <c r="M6" s="168"/>
    </row>
    <row r="7" spans="1:13" ht="113.25" customHeight="1" thickBot="1" x14ac:dyDescent="0.25">
      <c r="A7" s="210" t="s">
        <v>243</v>
      </c>
      <c r="B7" s="185">
        <f>'БазНорм на ОТ худ. гимнастика'!G10+'БазНорм на ОТ худ. гимнастика'!G11</f>
        <v>48128.982300000003</v>
      </c>
      <c r="C7" s="185">
        <f>'Нормы МатЗапасов худ. гимна'!Q15+'Нормы МатЗапасов худ. гимна'!Q35+'Нормы МатЗапасов худ. гимна'!Q41+'Нормы МатЗапасов худ. гимна'!Y63</f>
        <v>91757.896825396834</v>
      </c>
      <c r="D7" s="185">
        <f>'Трен. мер. и мед. обслуж худ ги'!I10</f>
        <v>351150</v>
      </c>
      <c r="E7" s="185">
        <f>'общехозяйственные худ. гим.'!J10</f>
        <v>2499.0666738255031</v>
      </c>
      <c r="F7" s="185">
        <f>B7+D7+E7+C7</f>
        <v>493535.94579922233</v>
      </c>
      <c r="G7" s="167" t="s">
        <v>226</v>
      </c>
      <c r="H7" s="168"/>
      <c r="I7" s="168"/>
      <c r="J7" s="168"/>
      <c r="K7" s="168"/>
      <c r="L7" s="168"/>
      <c r="M7" s="168"/>
    </row>
    <row r="8" spans="1:13" ht="107.25" customHeight="1" thickBot="1" x14ac:dyDescent="0.25">
      <c r="A8" s="210" t="s">
        <v>244</v>
      </c>
      <c r="B8" s="185">
        <f>'БазНорм на ОТ худ. гимнастика'!G13+'БазНорм на ОТ худ. гимнастика'!G14</f>
        <v>122659.24370000001</v>
      </c>
      <c r="C8" s="185">
        <f>'Нормы МатЗапасов худ. гимна'!R15+'Нормы МатЗапасов худ. гимна'!R35+'Нормы МатЗапасов худ. гимна'!R41+'Нормы МатЗапасов худ. гимна'!Z63</f>
        <v>209068.95238095237</v>
      </c>
      <c r="D8" s="185">
        <f>'Трен. мер. и мед. обслуж худ ги'!J10</f>
        <v>338050</v>
      </c>
      <c r="E8" s="185">
        <f>'общехозяйственные худ. гим.'!K10</f>
        <v>3498.6933433557047</v>
      </c>
      <c r="F8" s="185">
        <f>B8+D8+E8+C8</f>
        <v>673276.88942430809</v>
      </c>
      <c r="G8" s="167" t="s">
        <v>226</v>
      </c>
      <c r="H8" s="168"/>
      <c r="I8" s="168"/>
      <c r="J8" s="168"/>
      <c r="K8" s="168"/>
      <c r="L8" s="168"/>
      <c r="M8" s="168"/>
    </row>
    <row r="9" spans="1:13" ht="102.75" thickBot="1" x14ac:dyDescent="0.25">
      <c r="A9" s="210" t="s">
        <v>245</v>
      </c>
      <c r="B9" s="185">
        <f>'БазНорм на ОТ худ. гимнастика'!G16+'БазНорм на ОТ худ. гимнастика'!G17</f>
        <v>209105.64873333331</v>
      </c>
      <c r="C9" s="185">
        <f>'Нормы МатЗапасов худ. гимна'!S15+'Нормы МатЗапасов худ. гимна'!S35+'Нормы МатЗапасов худ. гимна'!S41+'Нормы МатЗапасов худ. гимна'!AA63</f>
        <v>303276.58730158734</v>
      </c>
      <c r="D9" s="185">
        <f>'Трен. мер. и мед. обслуж худ ги'!K10</f>
        <v>230600</v>
      </c>
      <c r="E9" s="185">
        <f>'общехозяйственные худ. гим.'!L10</f>
        <v>3998.5066781208043</v>
      </c>
      <c r="F9" s="185">
        <f>B9+D9+E9+C9</f>
        <v>746980.74271304149</v>
      </c>
      <c r="G9" s="167" t="s">
        <v>226</v>
      </c>
      <c r="H9" s="168"/>
      <c r="I9" s="168"/>
      <c r="J9" s="168"/>
      <c r="K9" s="168"/>
      <c r="L9" s="168"/>
      <c r="M9" s="168"/>
    </row>
  </sheetData>
  <mergeCells count="6">
    <mergeCell ref="H5:J5"/>
    <mergeCell ref="A3:A4"/>
    <mergeCell ref="B3:D3"/>
    <mergeCell ref="E3:E4"/>
    <mergeCell ref="F3:F4"/>
    <mergeCell ref="G3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11"/>
  <sheetViews>
    <sheetView zoomScale="70" zoomScaleNormal="70" workbookViewId="0">
      <selection activeCell="B11" sqref="B11"/>
    </sheetView>
  </sheetViews>
  <sheetFormatPr defaultRowHeight="12.75" x14ac:dyDescent="0.2"/>
  <cols>
    <col min="1" max="1" width="17.140625" style="163" customWidth="1"/>
    <col min="2" max="2" width="15.7109375" style="163" customWidth="1"/>
    <col min="3" max="3" width="17.85546875" style="163" customWidth="1"/>
    <col min="4" max="4" width="17.7109375" style="163" customWidth="1"/>
    <col min="5" max="5" width="18.7109375" style="163" customWidth="1"/>
    <col min="6" max="6" width="16.85546875" style="163" customWidth="1"/>
    <col min="7" max="7" width="22" style="163" customWidth="1"/>
    <col min="8" max="11" width="9.28515625" style="163" bestFit="1" customWidth="1"/>
    <col min="12" max="13" width="10.5703125" style="163" bestFit="1" customWidth="1"/>
    <col min="14" max="16384" width="9.140625" style="163"/>
  </cols>
  <sheetData>
    <row r="2" spans="1:13" s="169" customFormat="1" ht="35.25" customHeight="1" thickBot="1" x14ac:dyDescent="0.25">
      <c r="A2" s="313" t="s">
        <v>250</v>
      </c>
      <c r="B2" s="313"/>
      <c r="C2" s="313"/>
      <c r="D2" s="313"/>
      <c r="E2" s="313"/>
      <c r="F2" s="313"/>
      <c r="G2" s="313"/>
    </row>
    <row r="3" spans="1:13" ht="46.5" customHeight="1" thickBot="1" x14ac:dyDescent="0.25">
      <c r="A3" s="274" t="s">
        <v>216</v>
      </c>
      <c r="B3" s="276" t="s">
        <v>217</v>
      </c>
      <c r="C3" s="277"/>
      <c r="D3" s="278"/>
      <c r="E3" s="274" t="s">
        <v>218</v>
      </c>
      <c r="F3" s="274" t="s">
        <v>219</v>
      </c>
      <c r="G3" s="279" t="s">
        <v>4</v>
      </c>
    </row>
    <row r="4" spans="1:13" ht="57.75" customHeight="1" thickBot="1" x14ac:dyDescent="0.25">
      <c r="A4" s="275"/>
      <c r="B4" s="164" t="s">
        <v>220</v>
      </c>
      <c r="C4" s="167" t="s">
        <v>221</v>
      </c>
      <c r="D4" s="167" t="s">
        <v>222</v>
      </c>
      <c r="E4" s="275"/>
      <c r="F4" s="275"/>
      <c r="G4" s="280"/>
    </row>
    <row r="5" spans="1:13" ht="13.5" thickBot="1" x14ac:dyDescent="0.25">
      <c r="A5" s="164" t="s">
        <v>223</v>
      </c>
      <c r="B5" s="164">
        <v>2</v>
      </c>
      <c r="C5" s="166"/>
      <c r="D5" s="164" t="s">
        <v>224</v>
      </c>
      <c r="E5" s="164" t="s">
        <v>225</v>
      </c>
      <c r="F5" s="164" t="s">
        <v>246</v>
      </c>
      <c r="G5" s="281"/>
      <c r="H5" s="272"/>
      <c r="I5" s="273"/>
      <c r="J5" s="273"/>
    </row>
    <row r="6" spans="1:13" ht="147" customHeight="1" thickBot="1" x14ac:dyDescent="0.25">
      <c r="A6" s="167" t="s">
        <v>251</v>
      </c>
      <c r="B6" s="188">
        <v>14718.45</v>
      </c>
      <c r="C6" s="188">
        <v>0</v>
      </c>
      <c r="D6" s="188">
        <v>0</v>
      </c>
      <c r="E6" s="185">
        <f>'пп общех'!I10</f>
        <v>15144.66832608501</v>
      </c>
      <c r="F6" s="185">
        <f>B6+C6+D6+E6</f>
        <v>29863.118326085008</v>
      </c>
      <c r="G6" s="167" t="s">
        <v>226</v>
      </c>
      <c r="H6" s="168"/>
      <c r="I6" s="168"/>
      <c r="J6" s="168"/>
      <c r="K6" s="168"/>
      <c r="L6" s="168"/>
      <c r="M6" s="168"/>
    </row>
    <row r="7" spans="1:13" ht="164.25" customHeight="1" thickBot="1" x14ac:dyDescent="0.25">
      <c r="A7" s="167" t="s">
        <v>252</v>
      </c>
      <c r="B7" s="188">
        <v>31325.119999999999</v>
      </c>
      <c r="C7" s="188">
        <f>'Нормы МатЗапасов плавание '!Q22+'Нормы МатЗапасов плавание '!AB35</f>
        <v>0</v>
      </c>
      <c r="D7" s="188">
        <v>72145</v>
      </c>
      <c r="E7" s="185">
        <f>'пп общех'!J10</f>
        <v>34075.503733691272</v>
      </c>
      <c r="F7" s="185">
        <f t="shared" ref="F7:F10" si="0">B7+C7+D7+E7</f>
        <v>137545.62373369126</v>
      </c>
      <c r="G7" s="167" t="s">
        <v>226</v>
      </c>
      <c r="H7" s="168"/>
      <c r="I7" s="168"/>
      <c r="J7" s="168"/>
      <c r="K7" s="168"/>
      <c r="L7" s="168"/>
      <c r="M7" s="168"/>
    </row>
    <row r="8" spans="1:13" ht="156.75" customHeight="1" thickBot="1" x14ac:dyDescent="0.25">
      <c r="A8" s="167" t="s">
        <v>255</v>
      </c>
      <c r="B8" s="188">
        <v>16466.12</v>
      </c>
      <c r="C8" s="188">
        <v>0</v>
      </c>
      <c r="D8" s="188">
        <v>0</v>
      </c>
      <c r="E8" s="185">
        <f>'пп общех'!I10</f>
        <v>15144.66832608501</v>
      </c>
      <c r="F8" s="185">
        <f t="shared" si="0"/>
        <v>31610.788326085007</v>
      </c>
      <c r="G8" s="167" t="s">
        <v>226</v>
      </c>
    </row>
    <row r="9" spans="1:13" ht="174.75" customHeight="1" thickBot="1" x14ac:dyDescent="0.25">
      <c r="A9" s="167" t="s">
        <v>253</v>
      </c>
      <c r="B9" s="188">
        <v>27349.8</v>
      </c>
      <c r="C9" s="188">
        <v>0</v>
      </c>
      <c r="D9" s="188">
        <v>0</v>
      </c>
      <c r="E9" s="185">
        <f>'пп общех'!J10</f>
        <v>34075.503733691272</v>
      </c>
      <c r="F9" s="185">
        <f t="shared" si="0"/>
        <v>61425.303733691268</v>
      </c>
      <c r="G9" s="167" t="s">
        <v>226</v>
      </c>
    </row>
    <row r="10" spans="1:13" ht="172.5" customHeight="1" thickBot="1" x14ac:dyDescent="0.25">
      <c r="A10" s="173" t="s">
        <v>254</v>
      </c>
      <c r="B10" s="189">
        <v>27404.6</v>
      </c>
      <c r="C10" s="189">
        <v>0</v>
      </c>
      <c r="D10" s="189">
        <v>0</v>
      </c>
      <c r="E10" s="186">
        <f>'пп общех'!K10</f>
        <v>39754.754355973149</v>
      </c>
      <c r="F10" s="185">
        <f t="shared" si="0"/>
        <v>67159.354355973148</v>
      </c>
      <c r="G10" s="173" t="s">
        <v>226</v>
      </c>
    </row>
    <row r="11" spans="1:13" ht="13.5" thickBot="1" x14ac:dyDescent="0.25">
      <c r="A11" s="175"/>
      <c r="B11" s="187">
        <f>B6+B7+B8+B9+B10</f>
        <v>117264.09</v>
      </c>
      <c r="C11" s="190">
        <f t="shared" ref="C11:D11" si="1">C6+C7+C8+C9+C10</f>
        <v>0</v>
      </c>
      <c r="D11" s="187">
        <f t="shared" si="1"/>
        <v>72145</v>
      </c>
      <c r="E11" s="187">
        <f>E6+E7+E8+E9+E10</f>
        <v>138195.09847552571</v>
      </c>
      <c r="F11" s="187">
        <f>F6+F7+F8+F9+F10</f>
        <v>327604.18847552571</v>
      </c>
      <c r="G11" s="176"/>
    </row>
  </sheetData>
  <mergeCells count="7">
    <mergeCell ref="H5:J5"/>
    <mergeCell ref="A2:G2"/>
    <mergeCell ref="A3:A4"/>
    <mergeCell ref="B3:D3"/>
    <mergeCell ref="E3:E4"/>
    <mergeCell ref="F3:F4"/>
    <mergeCell ref="G3:G5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20"/>
  <sheetViews>
    <sheetView zoomScale="70" zoomScaleNormal="70" workbookViewId="0">
      <selection activeCell="B12" sqref="B12"/>
    </sheetView>
  </sheetViews>
  <sheetFormatPr defaultRowHeight="12.75" x14ac:dyDescent="0.2"/>
  <cols>
    <col min="1" max="1" width="17.140625" style="163" customWidth="1"/>
    <col min="2" max="2" width="15.7109375" style="163" customWidth="1"/>
    <col min="3" max="3" width="17.85546875" style="163" customWidth="1"/>
    <col min="4" max="4" width="17.7109375" style="163" customWidth="1"/>
    <col min="5" max="5" width="18.7109375" style="163" customWidth="1"/>
    <col min="6" max="6" width="16.85546875" style="163" customWidth="1"/>
    <col min="7" max="7" width="22" style="163" customWidth="1"/>
    <col min="8" max="11" width="9.28515625" style="163" bestFit="1" customWidth="1"/>
    <col min="12" max="13" width="10.5703125" style="163" bestFit="1" customWidth="1"/>
    <col min="14" max="16384" width="9.140625" style="163"/>
  </cols>
  <sheetData>
    <row r="2" spans="1:13" s="169" customFormat="1" ht="35.25" customHeight="1" thickBot="1" x14ac:dyDescent="0.25">
      <c r="A2" s="313" t="s">
        <v>250</v>
      </c>
      <c r="B2" s="313"/>
      <c r="C2" s="313"/>
      <c r="D2" s="313"/>
      <c r="E2" s="313"/>
      <c r="F2" s="313"/>
      <c r="G2" s="313"/>
    </row>
    <row r="3" spans="1:13" ht="46.5" customHeight="1" thickBot="1" x14ac:dyDescent="0.25">
      <c r="A3" s="274" t="s">
        <v>216</v>
      </c>
      <c r="B3" s="276" t="s">
        <v>217</v>
      </c>
      <c r="C3" s="277"/>
      <c r="D3" s="278"/>
      <c r="E3" s="274" t="s">
        <v>218</v>
      </c>
      <c r="F3" s="274" t="s">
        <v>257</v>
      </c>
      <c r="G3" s="274" t="s">
        <v>258</v>
      </c>
    </row>
    <row r="4" spans="1:13" ht="57.75" customHeight="1" thickBot="1" x14ac:dyDescent="0.25">
      <c r="A4" s="275"/>
      <c r="B4" s="164" t="s">
        <v>220</v>
      </c>
      <c r="C4" s="165" t="s">
        <v>221</v>
      </c>
      <c r="D4" s="165" t="s">
        <v>222</v>
      </c>
      <c r="E4" s="275"/>
      <c r="F4" s="275"/>
      <c r="G4" s="275"/>
    </row>
    <row r="5" spans="1:13" ht="13.5" thickBot="1" x14ac:dyDescent="0.25">
      <c r="A5" s="164" t="s">
        <v>223</v>
      </c>
      <c r="B5" s="164">
        <v>2</v>
      </c>
      <c r="C5" s="166"/>
      <c r="D5" s="164" t="s">
        <v>224</v>
      </c>
      <c r="E5" s="164" t="s">
        <v>225</v>
      </c>
      <c r="F5" s="164" t="s">
        <v>246</v>
      </c>
      <c r="G5" s="179">
        <v>7</v>
      </c>
      <c r="H5" s="272"/>
      <c r="I5" s="273"/>
      <c r="J5" s="273"/>
    </row>
    <row r="6" spans="1:13" ht="155.25" hidden="1" customHeight="1" thickBot="1" x14ac:dyDescent="0.25">
      <c r="A6" s="167" t="s">
        <v>251</v>
      </c>
      <c r="B6" s="188">
        <v>14718.45</v>
      </c>
      <c r="C6" s="188">
        <v>0</v>
      </c>
      <c r="D6" s="188">
        <v>0</v>
      </c>
      <c r="E6" s="188">
        <v>15144.67</v>
      </c>
      <c r="F6" s="188">
        <f>B6+C6+D6+E6</f>
        <v>29863.120000000003</v>
      </c>
      <c r="G6" s="167" t="s">
        <v>226</v>
      </c>
      <c r="H6" s="168"/>
      <c r="I6" s="168"/>
      <c r="J6" s="168"/>
      <c r="K6" s="168"/>
      <c r="L6" s="168"/>
      <c r="M6" s="168"/>
    </row>
    <row r="7" spans="1:13" ht="164.25" hidden="1" customHeight="1" thickBot="1" x14ac:dyDescent="0.25">
      <c r="A7" s="167" t="s">
        <v>252</v>
      </c>
      <c r="B7" s="188">
        <v>31325.119999999999</v>
      </c>
      <c r="C7" s="188">
        <f>'Нормы МатЗапасов плавание '!Q22+'Нормы МатЗапасов плавание '!AB35</f>
        <v>0</v>
      </c>
      <c r="D7" s="188">
        <v>72145</v>
      </c>
      <c r="E7" s="188">
        <v>34075.5</v>
      </c>
      <c r="F7" s="188">
        <f t="shared" ref="F7:F10" si="0">B7+C7+D7+E7</f>
        <v>137545.62</v>
      </c>
      <c r="G7" s="167" t="s">
        <v>226</v>
      </c>
      <c r="H7" s="168"/>
      <c r="I7" s="168"/>
      <c r="J7" s="168"/>
      <c r="K7" s="168"/>
      <c r="L7" s="168"/>
      <c r="M7" s="168"/>
    </row>
    <row r="8" spans="1:13" ht="156.75" hidden="1" customHeight="1" thickBot="1" x14ac:dyDescent="0.25">
      <c r="A8" s="167" t="s">
        <v>255</v>
      </c>
      <c r="B8" s="188">
        <v>16466.12</v>
      </c>
      <c r="C8" s="188">
        <v>0</v>
      </c>
      <c r="D8" s="188">
        <v>0</v>
      </c>
      <c r="E8" s="188">
        <v>15144.67</v>
      </c>
      <c r="F8" s="188">
        <f t="shared" si="0"/>
        <v>31610.79</v>
      </c>
      <c r="G8" s="167" t="s">
        <v>226</v>
      </c>
    </row>
    <row r="9" spans="1:13" ht="174.75" hidden="1" customHeight="1" thickBot="1" x14ac:dyDescent="0.25">
      <c r="A9" s="167" t="s">
        <v>253</v>
      </c>
      <c r="B9" s="188">
        <v>27349.8</v>
      </c>
      <c r="C9" s="188">
        <v>0</v>
      </c>
      <c r="D9" s="188">
        <v>0</v>
      </c>
      <c r="E9" s="188">
        <v>34075.5</v>
      </c>
      <c r="F9" s="188">
        <f t="shared" si="0"/>
        <v>61425.3</v>
      </c>
      <c r="G9" s="167" t="s">
        <v>226</v>
      </c>
    </row>
    <row r="10" spans="1:13" ht="183.75" hidden="1" customHeight="1" thickBot="1" x14ac:dyDescent="0.25">
      <c r="A10" s="174" t="s">
        <v>254</v>
      </c>
      <c r="B10" s="189">
        <v>27404.6</v>
      </c>
      <c r="C10" s="189">
        <v>0</v>
      </c>
      <c r="D10" s="189">
        <v>0</v>
      </c>
      <c r="E10" s="189">
        <v>39754.75</v>
      </c>
      <c r="F10" s="188">
        <f t="shared" si="0"/>
        <v>67159.350000000006</v>
      </c>
      <c r="G10" s="174" t="s">
        <v>226</v>
      </c>
    </row>
    <row r="11" spans="1:13" ht="90" thickBot="1" x14ac:dyDescent="0.25">
      <c r="A11" s="210" t="s">
        <v>256</v>
      </c>
      <c r="B11" s="187">
        <f>B6+B7+B8+B9+B10</f>
        <v>117264.09</v>
      </c>
      <c r="C11" s="187">
        <f>C6+C7+C8+C9+C10</f>
        <v>0</v>
      </c>
      <c r="D11" s="187">
        <f>D6+D7+D8+D9+D10</f>
        <v>72145</v>
      </c>
      <c r="E11" s="187">
        <f>E6+E7+E8+E9+E10</f>
        <v>138195.09</v>
      </c>
      <c r="F11" s="187">
        <f>F6+F7+F8+F9+F10</f>
        <v>327604.18000000005</v>
      </c>
      <c r="G11" s="227">
        <f>F11*268/132970</f>
        <v>660.28367481386783</v>
      </c>
    </row>
    <row r="15" spans="1:13" x14ac:dyDescent="0.2">
      <c r="B15" s="163">
        <f>B11*268/132970</f>
        <v>236.34486064525831</v>
      </c>
    </row>
    <row r="19" spans="7:7" x14ac:dyDescent="0.2">
      <c r="G19" s="181">
        <f>327604.18*255/156685</f>
        <v>533.16568848326256</v>
      </c>
    </row>
    <row r="20" spans="7:7" x14ac:dyDescent="0.2">
      <c r="G20" s="180">
        <f>F11*253/160520</f>
        <v>516.34598517318716</v>
      </c>
    </row>
  </sheetData>
  <mergeCells count="7">
    <mergeCell ref="H5:J5"/>
    <mergeCell ref="G3:G4"/>
    <mergeCell ref="A2:G2"/>
    <mergeCell ref="A3:A4"/>
    <mergeCell ref="B3:D3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0"/>
  <sheetViews>
    <sheetView zoomScale="60" zoomScaleNormal="60" workbookViewId="0">
      <selection activeCell="F15" sqref="E15:F16"/>
    </sheetView>
  </sheetViews>
  <sheetFormatPr defaultRowHeight="15" x14ac:dyDescent="0.25"/>
  <cols>
    <col min="1" max="1" width="35.42578125" customWidth="1"/>
    <col min="2" max="2" width="20" customWidth="1"/>
    <col min="3" max="3" width="17.85546875" customWidth="1"/>
    <col min="4" max="4" width="21.28515625" customWidth="1"/>
    <col min="5" max="5" width="19" customWidth="1"/>
    <col min="6" max="6" width="15.28515625" customWidth="1"/>
    <col min="7" max="7" width="17.5703125" customWidth="1"/>
    <col min="8" max="8" width="14" customWidth="1"/>
    <col min="9" max="9" width="13.140625" customWidth="1"/>
    <col min="10" max="10" width="13.28515625" customWidth="1"/>
    <col min="11" max="11" width="13.5703125" customWidth="1"/>
    <col min="12" max="12" width="14.28515625" customWidth="1"/>
    <col min="13" max="13" width="19.28515625" customWidth="1"/>
    <col min="14" max="14" width="14.42578125" customWidth="1"/>
    <col min="15" max="15" width="10.7109375" customWidth="1"/>
    <col min="16" max="16" width="11.140625" customWidth="1"/>
    <col min="17" max="17" width="13.7109375" customWidth="1"/>
    <col min="18" max="18" width="12.140625" customWidth="1"/>
    <col min="19" max="19" width="12.7109375" customWidth="1"/>
    <col min="20" max="20" width="14.42578125" customWidth="1"/>
    <col min="21" max="21" width="12.28515625" customWidth="1"/>
    <col min="22" max="22" width="9.140625" customWidth="1"/>
  </cols>
  <sheetData>
    <row r="1" spans="1:22" ht="30" customHeight="1" x14ac:dyDescent="0.25">
      <c r="M1" t="s">
        <v>131</v>
      </c>
    </row>
    <row r="2" spans="1:22" ht="33" customHeight="1" x14ac:dyDescent="0.25">
      <c r="A2" s="45" t="s">
        <v>195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</row>
    <row r="3" spans="1:22" ht="15.75" thickBot="1" x14ac:dyDescent="0.3"/>
    <row r="4" spans="1:22" ht="102.75" customHeight="1" x14ac:dyDescent="0.25">
      <c r="A4" s="182" t="s">
        <v>0</v>
      </c>
      <c r="B4" s="147" t="s">
        <v>160</v>
      </c>
      <c r="C4" s="226" t="s">
        <v>196</v>
      </c>
      <c r="D4" s="222" t="s">
        <v>197</v>
      </c>
      <c r="E4" s="222" t="s">
        <v>198</v>
      </c>
      <c r="F4" s="222" t="s">
        <v>199</v>
      </c>
      <c r="G4" s="222" t="s">
        <v>200</v>
      </c>
      <c r="H4" s="223" t="s">
        <v>201</v>
      </c>
      <c r="I4" s="223" t="s">
        <v>202</v>
      </c>
      <c r="J4" s="223" t="s">
        <v>203</v>
      </c>
      <c r="K4" s="223" t="s">
        <v>204</v>
      </c>
      <c r="L4" s="223" t="s">
        <v>205</v>
      </c>
      <c r="M4" s="223" t="s">
        <v>4</v>
      </c>
    </row>
    <row r="5" spans="1:22" x14ac:dyDescent="0.25">
      <c r="A5" s="178">
        <v>1</v>
      </c>
      <c r="B5" s="177">
        <v>2</v>
      </c>
      <c r="C5" s="60">
        <v>3</v>
      </c>
      <c r="D5" s="65">
        <v>4</v>
      </c>
      <c r="E5" s="65">
        <f>D5+1</f>
        <v>5</v>
      </c>
      <c r="F5" s="65">
        <f t="shared" ref="F5:G5" si="0">E5+1</f>
        <v>6</v>
      </c>
      <c r="G5" s="65">
        <f t="shared" si="0"/>
        <v>7</v>
      </c>
      <c r="H5" s="65" t="s">
        <v>240</v>
      </c>
      <c r="I5" s="65" t="s">
        <v>211</v>
      </c>
      <c r="J5" s="65" t="s">
        <v>212</v>
      </c>
      <c r="K5" s="65" t="s">
        <v>213</v>
      </c>
      <c r="L5" s="65" t="s">
        <v>214</v>
      </c>
      <c r="M5" s="65">
        <v>13</v>
      </c>
      <c r="N5" s="24"/>
      <c r="O5" s="24"/>
      <c r="P5" s="24"/>
      <c r="Q5" s="24"/>
      <c r="R5" s="24"/>
      <c r="S5" s="24"/>
      <c r="T5" s="24"/>
      <c r="U5" s="24"/>
      <c r="V5" s="24"/>
    </row>
    <row r="6" spans="1:22" ht="15.75" customHeight="1" thickBot="1" x14ac:dyDescent="0.3">
      <c r="A6" s="34" t="s">
        <v>206</v>
      </c>
      <c r="B6" s="208">
        <v>3121299.53</v>
      </c>
      <c r="C6" s="184">
        <f>298*15</f>
        <v>4470</v>
      </c>
      <c r="D6" s="157">
        <f>8*52</f>
        <v>416</v>
      </c>
      <c r="E6" s="54">
        <f>18*52</f>
        <v>936</v>
      </c>
      <c r="F6" s="54">
        <f>21*52</f>
        <v>1092</v>
      </c>
      <c r="G6" s="54">
        <f>24*52</f>
        <v>1248</v>
      </c>
      <c r="H6" s="193">
        <f>B6/C6/25</f>
        <v>27.931091991051453</v>
      </c>
      <c r="I6" s="236">
        <f>D6*H6</f>
        <v>11619.334268277404</v>
      </c>
      <c r="J6" s="236">
        <f>E6*H6</f>
        <v>26143.50210362416</v>
      </c>
      <c r="K6" s="236">
        <f>F6*H6</f>
        <v>30500.752454228186</v>
      </c>
      <c r="L6" s="237">
        <f>G6*H6</f>
        <v>34858.002804832213</v>
      </c>
      <c r="M6" s="282" t="s">
        <v>239</v>
      </c>
      <c r="N6" s="24"/>
      <c r="O6" s="24"/>
      <c r="P6" s="24"/>
      <c r="Q6" s="24"/>
      <c r="R6" s="24"/>
      <c r="S6" s="24"/>
      <c r="T6" s="24"/>
      <c r="U6" s="24"/>
      <c r="V6" s="24"/>
    </row>
    <row r="7" spans="1:22" ht="67.5" customHeight="1" thickBot="1" x14ac:dyDescent="0.3">
      <c r="A7" s="15" t="s">
        <v>260</v>
      </c>
      <c r="B7" s="235">
        <v>762464.2</v>
      </c>
      <c r="C7" s="184">
        <f t="shared" ref="C7:C9" si="1">298*15</f>
        <v>4470</v>
      </c>
      <c r="D7" s="157">
        <f>8*52</f>
        <v>416</v>
      </c>
      <c r="E7" s="54">
        <f t="shared" ref="E7:E9" si="2">18*52</f>
        <v>936</v>
      </c>
      <c r="F7" s="54">
        <f t="shared" ref="F7:F9" si="3">21*52</f>
        <v>1092</v>
      </c>
      <c r="G7" s="54">
        <f t="shared" ref="G7:G9" si="4">24*52</f>
        <v>1248</v>
      </c>
      <c r="H7" s="193">
        <f t="shared" ref="H7:H9" si="5">B7/C7/25</f>
        <v>6.822945861297538</v>
      </c>
      <c r="I7" s="236">
        <f t="shared" ref="I7:I9" si="6">D7*H7</f>
        <v>2838.345478299776</v>
      </c>
      <c r="J7" s="236">
        <f t="shared" ref="J7:J9" si="7">E7*H7</f>
        <v>6386.277326174496</v>
      </c>
      <c r="K7" s="236">
        <f t="shared" ref="K7:K9" si="8">F7*H7</f>
        <v>7450.6568805369116</v>
      </c>
      <c r="L7" s="237">
        <f t="shared" ref="L7:L9" si="9">G7*H7</f>
        <v>8515.036434899328</v>
      </c>
      <c r="M7" s="283"/>
      <c r="N7" s="24"/>
      <c r="O7" s="24"/>
      <c r="P7" s="24"/>
      <c r="Q7" s="24"/>
      <c r="R7" s="24"/>
      <c r="S7" s="24"/>
      <c r="T7" s="24"/>
      <c r="U7" s="24"/>
      <c r="V7" s="24"/>
    </row>
    <row r="8" spans="1:22" ht="60.75" thickBot="1" x14ac:dyDescent="0.3">
      <c r="A8" s="162" t="s">
        <v>182</v>
      </c>
      <c r="B8" s="235">
        <v>26465.45</v>
      </c>
      <c r="C8" s="184">
        <f t="shared" si="1"/>
        <v>4470</v>
      </c>
      <c r="D8" s="157">
        <f t="shared" ref="D8:D9" si="10">8*52</f>
        <v>416</v>
      </c>
      <c r="E8" s="54">
        <f t="shared" si="2"/>
        <v>936</v>
      </c>
      <c r="F8" s="54">
        <f t="shared" si="3"/>
        <v>1092</v>
      </c>
      <c r="G8" s="54">
        <f t="shared" si="4"/>
        <v>1248</v>
      </c>
      <c r="H8" s="193">
        <f t="shared" si="5"/>
        <v>0.23682729306487699</v>
      </c>
      <c r="I8" s="236">
        <f t="shared" si="6"/>
        <v>98.520153914988825</v>
      </c>
      <c r="J8" s="236">
        <f t="shared" si="7"/>
        <v>221.67034630872487</v>
      </c>
      <c r="K8" s="236">
        <f t="shared" si="8"/>
        <v>258.61540402684568</v>
      </c>
      <c r="L8" s="237">
        <f t="shared" si="9"/>
        <v>295.56046174496646</v>
      </c>
      <c r="M8" s="283"/>
    </row>
    <row r="9" spans="1:22" ht="66" customHeight="1" thickBot="1" x14ac:dyDescent="0.3">
      <c r="A9" s="209" t="s">
        <v>208</v>
      </c>
      <c r="B9" s="235">
        <v>158080.16</v>
      </c>
      <c r="C9" s="184">
        <f t="shared" si="1"/>
        <v>4470</v>
      </c>
      <c r="D9" s="157">
        <f t="shared" si="10"/>
        <v>416</v>
      </c>
      <c r="E9" s="54">
        <f t="shared" si="2"/>
        <v>936</v>
      </c>
      <c r="F9" s="54">
        <f t="shared" si="3"/>
        <v>1092</v>
      </c>
      <c r="G9" s="54">
        <f t="shared" si="4"/>
        <v>1248</v>
      </c>
      <c r="H9" s="193">
        <f t="shared" si="5"/>
        <v>1.4145875615212529</v>
      </c>
      <c r="I9" s="236">
        <f t="shared" si="6"/>
        <v>588.46842559284119</v>
      </c>
      <c r="J9" s="236">
        <f t="shared" si="7"/>
        <v>1324.0539575838927</v>
      </c>
      <c r="K9" s="236">
        <f t="shared" si="8"/>
        <v>1544.7296171812081</v>
      </c>
      <c r="L9" s="237">
        <f t="shared" si="9"/>
        <v>1765.4052767785236</v>
      </c>
      <c r="M9" s="284"/>
    </row>
    <row r="10" spans="1:22" s="109" customFormat="1" x14ac:dyDescent="0.25">
      <c r="A10" s="107" t="s">
        <v>148</v>
      </c>
      <c r="B10" s="131" t="s">
        <v>209</v>
      </c>
      <c r="C10" s="131" t="s">
        <v>209</v>
      </c>
      <c r="D10" s="131" t="s">
        <v>209</v>
      </c>
      <c r="E10" s="131" t="s">
        <v>209</v>
      </c>
      <c r="F10" s="131" t="s">
        <v>209</v>
      </c>
      <c r="G10" s="131" t="s">
        <v>209</v>
      </c>
      <c r="H10" s="198" t="s">
        <v>209</v>
      </c>
      <c r="I10" s="217">
        <f>SUM(I6:I9)</f>
        <v>15144.66832608501</v>
      </c>
      <c r="J10" s="217">
        <f t="shared" ref="J10:L10" si="11">SUM(J6:J9)</f>
        <v>34075.503733691272</v>
      </c>
      <c r="K10" s="217">
        <f t="shared" si="11"/>
        <v>39754.754355973149</v>
      </c>
      <c r="L10" s="217">
        <f t="shared" si="11"/>
        <v>45434.004978255034</v>
      </c>
      <c r="M10" s="131"/>
    </row>
  </sheetData>
  <mergeCells count="1">
    <mergeCell ref="M6:M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M9"/>
  <sheetViews>
    <sheetView zoomScale="80" zoomScaleNormal="80" workbookViewId="0">
      <selection activeCell="B6" sqref="B6"/>
    </sheetView>
  </sheetViews>
  <sheetFormatPr defaultRowHeight="12.75" x14ac:dyDescent="0.2"/>
  <cols>
    <col min="1" max="1" width="17.140625" style="163" customWidth="1"/>
    <col min="2" max="2" width="15.7109375" style="163" customWidth="1"/>
    <col min="3" max="3" width="17.85546875" style="163" customWidth="1"/>
    <col min="4" max="4" width="17.7109375" style="163" customWidth="1"/>
    <col min="5" max="5" width="18.7109375" style="163" customWidth="1"/>
    <col min="6" max="6" width="16.85546875" style="163" customWidth="1"/>
    <col min="7" max="7" width="22" style="163" customWidth="1"/>
    <col min="8" max="11" width="9.28515625" style="163" bestFit="1" customWidth="1"/>
    <col min="12" max="13" width="10.5703125" style="163" bestFit="1" customWidth="1"/>
    <col min="14" max="16384" width="9.140625" style="163"/>
  </cols>
  <sheetData>
    <row r="2" spans="1:13" s="169" customFormat="1" ht="13.5" thickBot="1" x14ac:dyDescent="0.25">
      <c r="A2" s="169" t="s">
        <v>227</v>
      </c>
    </row>
    <row r="3" spans="1:13" ht="46.5" customHeight="1" thickBot="1" x14ac:dyDescent="0.25">
      <c r="A3" s="274" t="s">
        <v>216</v>
      </c>
      <c r="B3" s="276" t="s">
        <v>217</v>
      </c>
      <c r="C3" s="277"/>
      <c r="D3" s="278"/>
      <c r="E3" s="274" t="s">
        <v>218</v>
      </c>
      <c r="F3" s="274" t="s">
        <v>219</v>
      </c>
      <c r="G3" s="279" t="s">
        <v>4</v>
      </c>
    </row>
    <row r="4" spans="1:13" ht="57.75" customHeight="1" thickBot="1" x14ac:dyDescent="0.25">
      <c r="A4" s="275"/>
      <c r="B4" s="164" t="s">
        <v>220</v>
      </c>
      <c r="C4" s="167" t="s">
        <v>221</v>
      </c>
      <c r="D4" s="167" t="s">
        <v>222</v>
      </c>
      <c r="E4" s="275"/>
      <c r="F4" s="275"/>
      <c r="G4" s="280"/>
    </row>
    <row r="5" spans="1:13" ht="13.5" thickBot="1" x14ac:dyDescent="0.25">
      <c r="A5" s="164" t="s">
        <v>223</v>
      </c>
      <c r="B5" s="164">
        <v>2</v>
      </c>
      <c r="C5" s="166"/>
      <c r="D5" s="164" t="s">
        <v>224</v>
      </c>
      <c r="E5" s="164" t="s">
        <v>225</v>
      </c>
      <c r="F5" s="164" t="s">
        <v>246</v>
      </c>
      <c r="G5" s="281"/>
      <c r="H5" s="272"/>
      <c r="I5" s="273"/>
      <c r="J5" s="273"/>
    </row>
    <row r="6" spans="1:13" ht="64.5" thickBot="1" x14ac:dyDescent="0.25">
      <c r="A6" s="210" t="s">
        <v>228</v>
      </c>
      <c r="B6" s="185">
        <f>'БазНорм на ОТ плавание'!G6+'БазНорм на ОТ плавание'!G7</f>
        <v>41463.794699999999</v>
      </c>
      <c r="C6" s="185">
        <f>'Нормы МатЗапасов плавание '!P21+'Нормы МатЗапасов плавание '!AA34</f>
        <v>30039.714285714283</v>
      </c>
      <c r="D6" s="185">
        <f>'Трен. мер. и мед. обслуж плав'!H10</f>
        <v>40850</v>
      </c>
      <c r="E6" s="185">
        <f>'общехозяйственные плав'!I10</f>
        <v>3640.6455242214533</v>
      </c>
      <c r="F6" s="185">
        <f>B6+D6+E6+C6</f>
        <v>115994.15450993573</v>
      </c>
      <c r="G6" s="210" t="s">
        <v>226</v>
      </c>
      <c r="H6" s="168"/>
      <c r="I6" s="168"/>
      <c r="J6" s="168"/>
      <c r="K6" s="168"/>
      <c r="L6" s="168"/>
      <c r="M6" s="168"/>
    </row>
    <row r="7" spans="1:13" ht="84" customHeight="1" thickBot="1" x14ac:dyDescent="0.25">
      <c r="A7" s="210" t="s">
        <v>229</v>
      </c>
      <c r="B7" s="185">
        <f>'БазНорм на ОТ плавание'!G9+'БазНорм на ОТ плавание'!G10</f>
        <v>57157.918399999995</v>
      </c>
      <c r="C7" s="185">
        <f>'Нормы МатЗапасов плавание '!Q21+'Нормы МатЗапасов плавание '!AB34</f>
        <v>33384.519480519484</v>
      </c>
      <c r="D7" s="185">
        <f>'Трен. мер. и мед. обслуж плав'!I10</f>
        <v>351150</v>
      </c>
      <c r="E7" s="185">
        <f>'общехозяйственные плав'!J10</f>
        <v>8090.3233871587854</v>
      </c>
      <c r="F7" s="185">
        <f>B7+D7+E7+C7</f>
        <v>449782.76126767823</v>
      </c>
      <c r="G7" s="210" t="s">
        <v>226</v>
      </c>
      <c r="H7" s="168"/>
      <c r="I7" s="168"/>
      <c r="J7" s="168"/>
      <c r="K7" s="168"/>
      <c r="L7" s="168"/>
      <c r="M7" s="168"/>
    </row>
    <row r="8" spans="1:13" ht="90" thickBot="1" x14ac:dyDescent="0.25">
      <c r="A8" s="210" t="s">
        <v>230</v>
      </c>
      <c r="B8" s="185">
        <f>'БазНорм на ОТ плавание'!G12+'БазНорм на ОТ плавание'!G13</f>
        <v>82927.589399999997</v>
      </c>
      <c r="C8" s="185">
        <f>'Нормы МатЗапасов плавание '!R21+'Нормы МатЗапасов плавание '!AC34</f>
        <v>75844.816326530607</v>
      </c>
      <c r="D8" s="185">
        <f>'Трен. мер. и мед. обслуж плав'!J10</f>
        <v>338050</v>
      </c>
      <c r="E8" s="185">
        <f>'общехозяйственные плав'!K10</f>
        <v>11326.452742022297</v>
      </c>
      <c r="F8" s="185">
        <f>B8+D8+E8+C8</f>
        <v>508148.85846855288</v>
      </c>
      <c r="G8" s="210" t="s">
        <v>226</v>
      </c>
      <c r="H8" s="168"/>
      <c r="I8" s="168"/>
      <c r="J8" s="168"/>
      <c r="K8" s="168"/>
      <c r="L8" s="168"/>
      <c r="M8" s="168"/>
    </row>
    <row r="9" spans="1:13" ht="77.25" thickBot="1" x14ac:dyDescent="0.25">
      <c r="A9" s="210" t="s">
        <v>231</v>
      </c>
      <c r="B9" s="185">
        <f>'БазНорм на ОТ плавание'!G15+'БазНорм на ОТ плавание'!G16</f>
        <v>150393.3762</v>
      </c>
      <c r="C9" s="185">
        <f>'Нормы МатЗапасов плавание '!S21+'Нормы МатЗапасов плавание '!AD34</f>
        <v>123500.42857142858</v>
      </c>
      <c r="D9" s="185">
        <f>'Трен. мер. и мед. обслуж плав'!K10</f>
        <v>230600</v>
      </c>
      <c r="E9" s="185">
        <f>'общехозяйственные плав'!L10</f>
        <v>12944.517419454056</v>
      </c>
      <c r="F9" s="185">
        <f>B9+D9+E9+C9</f>
        <v>517438.32219088264</v>
      </c>
      <c r="G9" s="210" t="s">
        <v>226</v>
      </c>
      <c r="H9" s="168"/>
      <c r="I9" s="168"/>
      <c r="J9" s="168"/>
      <c r="K9" s="168"/>
      <c r="L9" s="168"/>
      <c r="M9" s="168"/>
    </row>
  </sheetData>
  <mergeCells count="6">
    <mergeCell ref="H5:J5"/>
    <mergeCell ref="A3:A4"/>
    <mergeCell ref="B3:D3"/>
    <mergeCell ref="E3:E4"/>
    <mergeCell ref="F3:F4"/>
    <mergeCell ref="G3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10"/>
  <sheetViews>
    <sheetView zoomScale="75" zoomScaleNormal="75" workbookViewId="0">
      <selection activeCell="D7" sqref="D7"/>
    </sheetView>
  </sheetViews>
  <sheetFormatPr defaultRowHeight="15" x14ac:dyDescent="0.25"/>
  <cols>
    <col min="1" max="1" width="35.42578125" customWidth="1"/>
    <col min="2" max="2" width="20" customWidth="1"/>
    <col min="3" max="3" width="17.85546875" customWidth="1"/>
    <col min="4" max="4" width="21.28515625" customWidth="1"/>
    <col min="5" max="5" width="19" customWidth="1"/>
    <col min="6" max="6" width="15.28515625" customWidth="1"/>
    <col min="7" max="7" width="17.5703125" customWidth="1"/>
    <col min="8" max="8" width="14" customWidth="1"/>
    <col min="9" max="9" width="13.140625" customWidth="1"/>
    <col min="10" max="10" width="13.28515625" customWidth="1"/>
    <col min="11" max="11" width="13.5703125" customWidth="1"/>
    <col min="12" max="12" width="14.28515625" customWidth="1"/>
    <col min="13" max="13" width="19.28515625" customWidth="1"/>
    <col min="14" max="14" width="14.42578125" customWidth="1"/>
    <col min="15" max="15" width="10.7109375" customWidth="1"/>
    <col min="16" max="16" width="11.140625" customWidth="1"/>
    <col min="17" max="17" width="13.7109375" customWidth="1"/>
    <col min="18" max="18" width="12.140625" customWidth="1"/>
    <col min="19" max="19" width="12.7109375" customWidth="1"/>
    <col min="20" max="20" width="14.42578125" customWidth="1"/>
    <col min="21" max="21" width="12.28515625" customWidth="1"/>
    <col min="22" max="22" width="9.140625" customWidth="1"/>
  </cols>
  <sheetData>
    <row r="1" spans="1:22" ht="30" customHeight="1" x14ac:dyDescent="0.25">
      <c r="M1" t="s">
        <v>131</v>
      </c>
    </row>
    <row r="2" spans="1:22" ht="33" customHeight="1" x14ac:dyDescent="0.25">
      <c r="A2" s="45" t="s">
        <v>195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</row>
    <row r="3" spans="1:22" ht="15.75" thickBot="1" x14ac:dyDescent="0.3"/>
    <row r="4" spans="1:22" ht="98.25" customHeight="1" x14ac:dyDescent="0.25">
      <c r="A4" s="147" t="s">
        <v>0</v>
      </c>
      <c r="B4" s="147" t="s">
        <v>160</v>
      </c>
      <c r="C4" s="226" t="s">
        <v>196</v>
      </c>
      <c r="D4" s="222" t="s">
        <v>197</v>
      </c>
      <c r="E4" s="222" t="s">
        <v>198</v>
      </c>
      <c r="F4" s="222" t="s">
        <v>199</v>
      </c>
      <c r="G4" s="222" t="s">
        <v>200</v>
      </c>
      <c r="H4" s="223" t="s">
        <v>201</v>
      </c>
      <c r="I4" s="223" t="s">
        <v>202</v>
      </c>
      <c r="J4" s="223" t="s">
        <v>203</v>
      </c>
      <c r="K4" s="223" t="s">
        <v>204</v>
      </c>
      <c r="L4" s="223" t="s">
        <v>205</v>
      </c>
      <c r="M4" s="223" t="s">
        <v>4</v>
      </c>
    </row>
    <row r="5" spans="1:22" x14ac:dyDescent="0.25">
      <c r="A5" s="60">
        <v>1</v>
      </c>
      <c r="B5" s="60">
        <v>2</v>
      </c>
      <c r="C5" s="60">
        <v>3</v>
      </c>
      <c r="D5" s="65">
        <v>4</v>
      </c>
      <c r="E5" s="65">
        <f>D5+1</f>
        <v>5</v>
      </c>
      <c r="F5" s="65">
        <f t="shared" ref="F5:G5" si="0">E5+1</f>
        <v>6</v>
      </c>
      <c r="G5" s="65">
        <f t="shared" si="0"/>
        <v>7</v>
      </c>
      <c r="H5" s="65" t="s">
        <v>210</v>
      </c>
      <c r="I5" s="65" t="s">
        <v>211</v>
      </c>
      <c r="J5" s="65" t="s">
        <v>212</v>
      </c>
      <c r="K5" s="65" t="s">
        <v>213</v>
      </c>
      <c r="L5" s="65" t="s">
        <v>214</v>
      </c>
      <c r="M5" s="65">
        <v>13</v>
      </c>
      <c r="N5" s="24"/>
      <c r="O5" s="24"/>
      <c r="P5" s="24"/>
      <c r="Q5" s="24"/>
      <c r="R5" s="24"/>
      <c r="S5" s="24"/>
      <c r="T5" s="24"/>
      <c r="U5" s="24"/>
      <c r="V5" s="24"/>
    </row>
    <row r="6" spans="1:22" ht="15.75" customHeight="1" thickBot="1" x14ac:dyDescent="0.3">
      <c r="A6" s="34" t="s">
        <v>206</v>
      </c>
      <c r="B6" s="259">
        <f>'Коммун услуги плав'!D13</f>
        <v>1292777.06</v>
      </c>
      <c r="C6" s="260">
        <f>289*15</f>
        <v>4335</v>
      </c>
      <c r="D6" s="261">
        <f>9*52</f>
        <v>468</v>
      </c>
      <c r="E6" s="262">
        <f>20*52</f>
        <v>1040</v>
      </c>
      <c r="F6" s="262">
        <f>28*52</f>
        <v>1456</v>
      </c>
      <c r="G6" s="262">
        <f>32*52</f>
        <v>1664</v>
      </c>
      <c r="H6" s="193">
        <f>B6/C6/48</f>
        <v>6.2128847558631293</v>
      </c>
      <c r="I6" s="236">
        <f>D6*H6</f>
        <v>2907.6300657439447</v>
      </c>
      <c r="J6" s="236">
        <f>E6*H6</f>
        <v>6461.4001460976542</v>
      </c>
      <c r="K6" s="236">
        <f>F6*H6</f>
        <v>9045.9602045367155</v>
      </c>
      <c r="L6" s="237">
        <f>G6*H6</f>
        <v>10338.240233756247</v>
      </c>
      <c r="M6" s="282" t="s">
        <v>215</v>
      </c>
      <c r="N6" s="24"/>
      <c r="O6" s="24"/>
      <c r="P6" s="24"/>
      <c r="Q6" s="24"/>
      <c r="R6" s="24"/>
      <c r="S6" s="24"/>
      <c r="T6" s="24"/>
      <c r="U6" s="24"/>
      <c r="V6" s="24"/>
    </row>
    <row r="7" spans="1:22" ht="67.5" customHeight="1" thickBot="1" x14ac:dyDescent="0.3">
      <c r="A7" s="209" t="s">
        <v>260</v>
      </c>
      <c r="B7" s="258">
        <f>'Коммун услуги плав'!D24</f>
        <v>139139.81</v>
      </c>
      <c r="C7" s="260">
        <f t="shared" ref="C7:C9" si="1">289*15</f>
        <v>4335</v>
      </c>
      <c r="D7" s="261">
        <f t="shared" ref="D7:D9" si="2">9*52</f>
        <v>468</v>
      </c>
      <c r="E7" s="262">
        <f t="shared" ref="E7:E9" si="3">20*52</f>
        <v>1040</v>
      </c>
      <c r="F7" s="262">
        <f t="shared" ref="F7:F9" si="4">28*52</f>
        <v>1456</v>
      </c>
      <c r="G7" s="262">
        <f t="shared" ref="G7:G9" si="5">32*52</f>
        <v>1664</v>
      </c>
      <c r="H7" s="193">
        <f t="shared" ref="H7:H9" si="6">B7/C7/48</f>
        <v>0.6686842079969243</v>
      </c>
      <c r="I7" s="236">
        <f t="shared" ref="I7:I9" si="7">D7*H7</f>
        <v>312.94420934256055</v>
      </c>
      <c r="J7" s="236">
        <f t="shared" ref="J7:J9" si="8">E7*H7</f>
        <v>695.43157631680128</v>
      </c>
      <c r="K7" s="236">
        <f t="shared" ref="K7:K9" si="9">F7*H7</f>
        <v>973.60420684352175</v>
      </c>
      <c r="L7" s="237">
        <f t="shared" ref="L7:L9" si="10">G7*H7</f>
        <v>1112.6905221068821</v>
      </c>
      <c r="M7" s="283"/>
      <c r="N7" s="24"/>
      <c r="O7" s="24"/>
      <c r="P7" s="24"/>
      <c r="Q7" s="24"/>
      <c r="R7" s="24"/>
      <c r="S7" s="24"/>
      <c r="T7" s="24"/>
      <c r="U7" s="24"/>
      <c r="V7" s="24"/>
    </row>
    <row r="8" spans="1:22" ht="60.75" thickBot="1" x14ac:dyDescent="0.3">
      <c r="A8" s="158" t="s">
        <v>182</v>
      </c>
      <c r="B8" s="258">
        <f>'Коммун услуги плав'!D27</f>
        <v>17179.78</v>
      </c>
      <c r="C8" s="260">
        <f t="shared" si="1"/>
        <v>4335</v>
      </c>
      <c r="D8" s="261">
        <f t="shared" si="2"/>
        <v>468</v>
      </c>
      <c r="E8" s="262">
        <f t="shared" si="3"/>
        <v>1040</v>
      </c>
      <c r="F8" s="262">
        <f t="shared" si="4"/>
        <v>1456</v>
      </c>
      <c r="G8" s="262">
        <f t="shared" si="5"/>
        <v>1664</v>
      </c>
      <c r="H8" s="193">
        <f t="shared" si="6"/>
        <v>8.2563341022683576E-2</v>
      </c>
      <c r="I8" s="236">
        <f t="shared" si="7"/>
        <v>38.639643598615912</v>
      </c>
      <c r="J8" s="236">
        <f t="shared" si="8"/>
        <v>85.865874663590915</v>
      </c>
      <c r="K8" s="236">
        <f t="shared" si="9"/>
        <v>120.21222452902728</v>
      </c>
      <c r="L8" s="237">
        <f t="shared" si="10"/>
        <v>137.38539946174546</v>
      </c>
      <c r="M8" s="283"/>
    </row>
    <row r="9" spans="1:22" ht="66" customHeight="1" thickBot="1" x14ac:dyDescent="0.3">
      <c r="A9" s="209" t="s">
        <v>208</v>
      </c>
      <c r="B9" s="258">
        <f>'Коммун услуги плав'!D32</f>
        <v>169590.36000000002</v>
      </c>
      <c r="C9" s="260">
        <f t="shared" si="1"/>
        <v>4335</v>
      </c>
      <c r="D9" s="261">
        <f t="shared" si="2"/>
        <v>468</v>
      </c>
      <c r="E9" s="262">
        <f t="shared" si="3"/>
        <v>1040</v>
      </c>
      <c r="F9" s="262">
        <f t="shared" si="4"/>
        <v>1456</v>
      </c>
      <c r="G9" s="262">
        <f t="shared" si="5"/>
        <v>1664</v>
      </c>
      <c r="H9" s="193">
        <f t="shared" si="6"/>
        <v>0.81502479815455597</v>
      </c>
      <c r="I9" s="236">
        <f t="shared" si="7"/>
        <v>381.4316055363322</v>
      </c>
      <c r="J9" s="236">
        <f t="shared" si="8"/>
        <v>847.62579008073817</v>
      </c>
      <c r="K9" s="236">
        <f t="shared" si="9"/>
        <v>1186.6761061130335</v>
      </c>
      <c r="L9" s="237">
        <f t="shared" si="10"/>
        <v>1356.2012641291813</v>
      </c>
      <c r="M9" s="284"/>
    </row>
    <row r="10" spans="1:22" s="109" customFormat="1" x14ac:dyDescent="0.25">
      <c r="A10" s="107" t="s">
        <v>148</v>
      </c>
      <c r="B10" s="131" t="s">
        <v>209</v>
      </c>
      <c r="C10" s="131" t="s">
        <v>209</v>
      </c>
      <c r="D10" s="131" t="s">
        <v>209</v>
      </c>
      <c r="E10" s="131" t="s">
        <v>209</v>
      </c>
      <c r="F10" s="131" t="s">
        <v>209</v>
      </c>
      <c r="G10" s="131" t="s">
        <v>209</v>
      </c>
      <c r="H10" s="131" t="s">
        <v>209</v>
      </c>
      <c r="I10" s="238">
        <f>SUM(I6:I9)</f>
        <v>3640.6455242214533</v>
      </c>
      <c r="J10" s="238">
        <f t="shared" ref="J10:L10" si="11">SUM(J6:J9)</f>
        <v>8090.3233871587854</v>
      </c>
      <c r="K10" s="238">
        <f t="shared" si="11"/>
        <v>11326.452742022297</v>
      </c>
      <c r="L10" s="238">
        <f t="shared" si="11"/>
        <v>12944.517419454056</v>
      </c>
      <c r="M10" s="131"/>
    </row>
  </sheetData>
  <mergeCells count="1">
    <mergeCell ref="M6:M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32"/>
  <sheetViews>
    <sheetView zoomScale="60" zoomScaleNormal="60" workbookViewId="0">
      <selection activeCell="D29" sqref="D29"/>
    </sheetView>
  </sheetViews>
  <sheetFormatPr defaultRowHeight="15" x14ac:dyDescent="0.25"/>
  <cols>
    <col min="1" max="1" width="35.42578125" customWidth="1"/>
    <col min="2" max="2" width="11.7109375" customWidth="1"/>
    <col min="3" max="3" width="11.85546875" customWidth="1"/>
    <col min="4" max="4" width="17.28515625" customWidth="1"/>
    <col min="5" max="5" width="47.140625" customWidth="1"/>
    <col min="6" max="6" width="14.42578125" customWidth="1"/>
    <col min="7" max="7" width="10.7109375" customWidth="1"/>
    <col min="8" max="8" width="11.140625" customWidth="1"/>
    <col min="9" max="9" width="13.7109375" customWidth="1"/>
    <col min="10" max="10" width="12.140625" customWidth="1"/>
    <col min="11" max="11" width="12.7109375" customWidth="1"/>
    <col min="12" max="12" width="14.42578125" customWidth="1"/>
    <col min="13" max="13" width="12.28515625" customWidth="1"/>
    <col min="14" max="14" width="9.140625" customWidth="1"/>
  </cols>
  <sheetData>
    <row r="1" spans="1:14" ht="30" customHeight="1" x14ac:dyDescent="0.25">
      <c r="E1" s="160" t="s">
        <v>131</v>
      </c>
    </row>
    <row r="2" spans="1:14" ht="14.25" customHeight="1" x14ac:dyDescent="0.25">
      <c r="A2" s="45"/>
      <c r="B2" s="45"/>
      <c r="C2" s="45"/>
      <c r="D2" s="45"/>
      <c r="E2" s="45"/>
      <c r="F2" s="45"/>
      <c r="G2" s="44"/>
    </row>
    <row r="3" spans="1:14" ht="34.5" customHeight="1" x14ac:dyDescent="0.25">
      <c r="A3" s="285" t="s">
        <v>184</v>
      </c>
      <c r="B3" s="285"/>
      <c r="C3" s="285"/>
      <c r="D3" s="285"/>
      <c r="E3" s="285"/>
      <c r="F3" s="45"/>
      <c r="G3" s="44"/>
    </row>
    <row r="5" spans="1:14" ht="78" customHeight="1" x14ac:dyDescent="0.25">
      <c r="A5" s="183" t="s">
        <v>0</v>
      </c>
      <c r="B5" s="244" t="s">
        <v>158</v>
      </c>
      <c r="C5" s="244" t="s">
        <v>159</v>
      </c>
      <c r="D5" s="244" t="s">
        <v>160</v>
      </c>
      <c r="E5" s="244" t="s">
        <v>161</v>
      </c>
    </row>
    <row r="6" spans="1:14" s="133" customFormat="1" x14ac:dyDescent="0.25">
      <c r="A6" s="149">
        <v>1</v>
      </c>
      <c r="B6" s="150">
        <v>2</v>
      </c>
      <c r="C6" s="150">
        <v>3</v>
      </c>
      <c r="D6" s="150">
        <v>4</v>
      </c>
      <c r="E6" s="151">
        <v>5</v>
      </c>
      <c r="F6" s="152"/>
      <c r="G6" s="152"/>
      <c r="H6" s="152"/>
      <c r="I6" s="152"/>
      <c r="J6" s="152"/>
      <c r="K6" s="152"/>
      <c r="L6" s="152"/>
      <c r="M6" s="152"/>
      <c r="N6" s="152"/>
    </row>
    <row r="7" spans="1:14" ht="22.5" customHeight="1" x14ac:dyDescent="0.25">
      <c r="A7" s="286" t="s">
        <v>162</v>
      </c>
      <c r="B7" s="287"/>
      <c r="C7" s="287"/>
      <c r="D7" s="287"/>
      <c r="E7" s="288"/>
      <c r="F7" s="24"/>
      <c r="G7" s="24"/>
      <c r="H7" s="24"/>
      <c r="I7" s="24"/>
      <c r="J7" s="24"/>
      <c r="K7" s="24"/>
      <c r="L7" s="24"/>
      <c r="M7" s="24"/>
      <c r="N7" s="24"/>
    </row>
    <row r="8" spans="1:14" ht="39" customHeight="1" x14ac:dyDescent="0.25">
      <c r="A8" s="161" t="s">
        <v>163</v>
      </c>
      <c r="B8" s="194">
        <f>D8/C8</f>
        <v>152994.19676214198</v>
      </c>
      <c r="C8" s="199">
        <v>4.0149999999999997</v>
      </c>
      <c r="D8" s="201">
        <v>614271.69999999995</v>
      </c>
      <c r="E8" s="159" t="s">
        <v>187</v>
      </c>
      <c r="F8" s="24"/>
      <c r="G8" s="24"/>
      <c r="H8" s="24"/>
      <c r="I8" s="24"/>
      <c r="J8" s="24"/>
      <c r="K8" s="24"/>
      <c r="L8" s="24"/>
      <c r="M8" s="24"/>
      <c r="N8" s="24"/>
    </row>
    <row r="9" spans="1:14" ht="21.75" customHeight="1" x14ac:dyDescent="0.25">
      <c r="A9" s="243" t="s">
        <v>164</v>
      </c>
      <c r="B9" s="194">
        <f t="shared" ref="B9:B12" si="0">D9/C9</f>
        <v>365.63879272257282</v>
      </c>
      <c r="C9" s="201">
        <v>1516.47</v>
      </c>
      <c r="D9" s="214">
        <v>554480.26</v>
      </c>
      <c r="E9" s="159" t="s">
        <v>186</v>
      </c>
      <c r="F9" s="24"/>
      <c r="G9" s="24"/>
      <c r="H9" s="24"/>
      <c r="I9" s="24"/>
      <c r="J9" s="24"/>
      <c r="K9" s="24"/>
      <c r="L9" s="24"/>
      <c r="M9" s="24"/>
      <c r="N9" s="24"/>
    </row>
    <row r="10" spans="1:14" ht="15" customHeight="1" x14ac:dyDescent="0.25">
      <c r="A10" s="64" t="s">
        <v>165</v>
      </c>
      <c r="B10" s="194">
        <f t="shared" si="0"/>
        <v>422.10367892976581</v>
      </c>
      <c r="C10" s="196">
        <v>2.99</v>
      </c>
      <c r="D10" s="201">
        <v>1262.0899999999999</v>
      </c>
      <c r="E10" s="159" t="s">
        <v>185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1.75" customHeight="1" x14ac:dyDescent="0.25">
      <c r="A11" s="243" t="s">
        <v>166</v>
      </c>
      <c r="B11" s="194">
        <f t="shared" si="0"/>
        <v>4158.1579813494236</v>
      </c>
      <c r="C11" s="196">
        <v>18.23</v>
      </c>
      <c r="D11" s="214">
        <v>75803.22</v>
      </c>
      <c r="E11" s="159" t="s">
        <v>188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2.5" customHeight="1" x14ac:dyDescent="0.25">
      <c r="A12" s="2" t="s">
        <v>167</v>
      </c>
      <c r="B12" s="194">
        <f t="shared" si="0"/>
        <v>4159.4145261293188</v>
      </c>
      <c r="C12" s="196">
        <v>11.29</v>
      </c>
      <c r="D12" s="214">
        <v>46959.79</v>
      </c>
      <c r="E12" s="159" t="s">
        <v>189</v>
      </c>
    </row>
    <row r="13" spans="1:14" s="109" customFormat="1" x14ac:dyDescent="0.25">
      <c r="A13" s="107" t="s">
        <v>168</v>
      </c>
      <c r="B13" s="198" t="s">
        <v>169</v>
      </c>
      <c r="C13" s="198" t="s">
        <v>169</v>
      </c>
      <c r="D13" s="217">
        <f>D8+D9+D10+D11+D12</f>
        <v>1292777.06</v>
      </c>
      <c r="E13" s="159"/>
    </row>
    <row r="14" spans="1:14" ht="18.75" customHeight="1" x14ac:dyDescent="0.25">
      <c r="A14" s="289" t="s">
        <v>170</v>
      </c>
      <c r="B14" s="289"/>
      <c r="C14" s="289"/>
      <c r="D14" s="289"/>
      <c r="E14" s="289"/>
    </row>
    <row r="15" spans="1:14" ht="20.25" customHeight="1" x14ac:dyDescent="0.25">
      <c r="A15" s="64" t="s">
        <v>171</v>
      </c>
      <c r="B15" s="195">
        <f>D15/C15</f>
        <v>3.3506323687031085</v>
      </c>
      <c r="C15" s="196">
        <v>2332.5</v>
      </c>
      <c r="D15" s="201">
        <v>7815.35</v>
      </c>
      <c r="E15" s="159" t="s">
        <v>160</v>
      </c>
    </row>
    <row r="16" spans="1:14" ht="24.75" customHeight="1" x14ac:dyDescent="0.25">
      <c r="A16" s="243" t="s">
        <v>172</v>
      </c>
      <c r="B16" s="195">
        <f t="shared" ref="B16:B23" si="1">D16/C16</f>
        <v>3.3506363636363634</v>
      </c>
      <c r="C16" s="196">
        <v>440</v>
      </c>
      <c r="D16" s="201">
        <v>1474.28</v>
      </c>
      <c r="E16" s="159" t="s">
        <v>160</v>
      </c>
    </row>
    <row r="17" spans="1:5" ht="30" x14ac:dyDescent="0.25">
      <c r="A17" s="148" t="s">
        <v>173</v>
      </c>
      <c r="B17" s="195">
        <f t="shared" si="1"/>
        <v>3.3506333333333331</v>
      </c>
      <c r="C17" s="196">
        <v>4200</v>
      </c>
      <c r="D17" s="201">
        <v>14072.66</v>
      </c>
      <c r="E17" s="159" t="s">
        <v>160</v>
      </c>
    </row>
    <row r="18" spans="1:5" ht="30" x14ac:dyDescent="0.25">
      <c r="A18" s="243" t="s">
        <v>174</v>
      </c>
      <c r="B18" s="195">
        <f t="shared" si="1"/>
        <v>3.3506333333333331</v>
      </c>
      <c r="C18" s="196">
        <v>4200</v>
      </c>
      <c r="D18" s="201">
        <v>14072.66</v>
      </c>
      <c r="E18" s="159" t="s">
        <v>160</v>
      </c>
    </row>
    <row r="19" spans="1:5" ht="30" x14ac:dyDescent="0.25">
      <c r="A19" s="2" t="s">
        <v>176</v>
      </c>
      <c r="B19" s="195">
        <f t="shared" si="1"/>
        <v>3.3506321428571431</v>
      </c>
      <c r="C19" s="196">
        <v>2800</v>
      </c>
      <c r="D19" s="201">
        <v>9381.77</v>
      </c>
      <c r="E19" s="159" t="s">
        <v>160</v>
      </c>
    </row>
    <row r="20" spans="1:5" ht="30" x14ac:dyDescent="0.25">
      <c r="A20" s="2" t="s">
        <v>177</v>
      </c>
      <c r="B20" s="195">
        <f t="shared" si="1"/>
        <v>6.5249955106621771</v>
      </c>
      <c r="C20" s="196">
        <v>8910</v>
      </c>
      <c r="D20" s="201">
        <v>58137.71</v>
      </c>
      <c r="E20" s="159" t="s">
        <v>160</v>
      </c>
    </row>
    <row r="21" spans="1:5" ht="45" x14ac:dyDescent="0.25">
      <c r="A21" s="2" t="s">
        <v>178</v>
      </c>
      <c r="B21" s="195">
        <f t="shared" si="1"/>
        <v>3.3506314928068157</v>
      </c>
      <c r="C21" s="196">
        <v>3064.0254</v>
      </c>
      <c r="D21" s="201">
        <v>10266.42</v>
      </c>
      <c r="E21" s="159" t="s">
        <v>160</v>
      </c>
    </row>
    <row r="22" spans="1:5" ht="30" x14ac:dyDescent="0.25">
      <c r="A22" s="2" t="s">
        <v>179</v>
      </c>
      <c r="B22" s="195">
        <f t="shared" si="1"/>
        <v>3.3506290903556386</v>
      </c>
      <c r="C22" s="196">
        <v>1576.88</v>
      </c>
      <c r="D22" s="201">
        <v>5283.54</v>
      </c>
      <c r="E22" s="159" t="s">
        <v>160</v>
      </c>
    </row>
    <row r="23" spans="1:5" ht="30" x14ac:dyDescent="0.25">
      <c r="A23" s="2" t="s">
        <v>180</v>
      </c>
      <c r="B23" s="195">
        <f t="shared" si="1"/>
        <v>3.3506336123816918</v>
      </c>
      <c r="C23" s="196">
        <v>5561.76</v>
      </c>
      <c r="D23" s="201">
        <v>18635.419999999998</v>
      </c>
      <c r="E23" s="159" t="s">
        <v>160</v>
      </c>
    </row>
    <row r="24" spans="1:5" x14ac:dyDescent="0.25">
      <c r="A24" s="239" t="s">
        <v>175</v>
      </c>
      <c r="B24" s="240" t="s">
        <v>169</v>
      </c>
      <c r="C24" s="240" t="s">
        <v>169</v>
      </c>
      <c r="D24" s="241">
        <f>SUM(D15:D23)</f>
        <v>139139.81</v>
      </c>
      <c r="E24" s="242"/>
    </row>
    <row r="25" spans="1:5" ht="30" customHeight="1" x14ac:dyDescent="0.25">
      <c r="A25" s="290" t="s">
        <v>181</v>
      </c>
      <c r="B25" s="291"/>
      <c r="C25" s="291"/>
      <c r="D25" s="291"/>
      <c r="E25" s="292"/>
    </row>
    <row r="26" spans="1:5" ht="72.75" customHeight="1" x14ac:dyDescent="0.25">
      <c r="A26" s="212" t="s">
        <v>182</v>
      </c>
      <c r="B26" s="218">
        <v>0.4</v>
      </c>
      <c r="C26" s="214">
        <v>42949.45</v>
      </c>
      <c r="D26" s="215">
        <f>B26*C26</f>
        <v>17179.78</v>
      </c>
      <c r="E26" s="2" t="s">
        <v>183</v>
      </c>
    </row>
    <row r="27" spans="1:5" x14ac:dyDescent="0.25">
      <c r="A27" s="107" t="s">
        <v>190</v>
      </c>
      <c r="B27" s="198" t="s">
        <v>169</v>
      </c>
      <c r="C27" s="198" t="s">
        <v>169</v>
      </c>
      <c r="D27" s="217">
        <f>D26</f>
        <v>17179.78</v>
      </c>
      <c r="E27" s="108"/>
    </row>
    <row r="28" spans="1:5" x14ac:dyDescent="0.25">
      <c r="A28" s="290" t="s">
        <v>191</v>
      </c>
      <c r="B28" s="291"/>
      <c r="C28" s="291"/>
      <c r="D28" s="291"/>
      <c r="E28" s="292"/>
    </row>
    <row r="29" spans="1:5" x14ac:dyDescent="0.25">
      <c r="A29" s="148" t="s">
        <v>192</v>
      </c>
      <c r="B29" s="221">
        <f>D29/C29</f>
        <v>377.81128560021295</v>
      </c>
      <c r="C29" s="196">
        <v>37.57</v>
      </c>
      <c r="D29" s="201">
        <v>14194.37</v>
      </c>
      <c r="E29" s="159" t="s">
        <v>160</v>
      </c>
    </row>
    <row r="30" spans="1:5" x14ac:dyDescent="0.25">
      <c r="A30" s="148" t="s">
        <v>193</v>
      </c>
      <c r="B30" s="221">
        <f t="shared" ref="B30:B31" si="2">D30/C30</f>
        <v>1134.0335714285716</v>
      </c>
      <c r="C30" s="196">
        <v>42</v>
      </c>
      <c r="D30" s="201">
        <v>47629.41</v>
      </c>
      <c r="E30" s="159" t="s">
        <v>160</v>
      </c>
    </row>
    <row r="31" spans="1:5" x14ac:dyDescent="0.25">
      <c r="A31" s="148" t="s">
        <v>194</v>
      </c>
      <c r="B31" s="221">
        <f t="shared" si="2"/>
        <v>137.45737244897958</v>
      </c>
      <c r="C31" s="196">
        <v>784</v>
      </c>
      <c r="D31" s="201">
        <v>107766.58</v>
      </c>
      <c r="E31" s="159" t="s">
        <v>160</v>
      </c>
    </row>
    <row r="32" spans="1:5" x14ac:dyDescent="0.25">
      <c r="A32" s="107" t="s">
        <v>247</v>
      </c>
      <c r="B32" s="198" t="s">
        <v>169</v>
      </c>
      <c r="C32" s="198" t="s">
        <v>169</v>
      </c>
      <c r="D32" s="217">
        <f>D29+D30+D31</f>
        <v>169590.36000000002</v>
      </c>
      <c r="E32" s="108"/>
    </row>
  </sheetData>
  <mergeCells count="5">
    <mergeCell ref="A3:E3"/>
    <mergeCell ref="A7:E7"/>
    <mergeCell ref="A14:E14"/>
    <mergeCell ref="A25:E25"/>
    <mergeCell ref="A28:E2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"/>
  <sheetViews>
    <sheetView zoomScale="70" zoomScaleNormal="70" workbookViewId="0">
      <selection activeCell="I8" sqref="I8"/>
    </sheetView>
  </sheetViews>
  <sheetFormatPr defaultRowHeight="15" x14ac:dyDescent="0.25"/>
  <cols>
    <col min="1" max="1" width="35.42578125" customWidth="1"/>
    <col min="2" max="2" width="11.7109375" customWidth="1"/>
    <col min="3" max="3" width="11.85546875" customWidth="1"/>
    <col min="4" max="4" width="11.28515625" customWidth="1"/>
    <col min="5" max="5" width="12.5703125" customWidth="1"/>
    <col min="7" max="7" width="11" customWidth="1"/>
    <col min="8" max="8" width="12.5703125" customWidth="1"/>
    <col min="9" max="9" width="13.7109375" customWidth="1"/>
    <col min="10" max="10" width="16.140625" customWidth="1"/>
    <col min="11" max="11" width="15.42578125" customWidth="1"/>
    <col min="12" max="12" width="29.28515625" customWidth="1"/>
    <col min="13" max="13" width="14.42578125" customWidth="1"/>
    <col min="14" max="14" width="10.7109375" customWidth="1"/>
    <col min="15" max="15" width="11.140625" customWidth="1"/>
    <col min="16" max="16" width="13.7109375" customWidth="1"/>
    <col min="17" max="17" width="12.140625" customWidth="1"/>
    <col min="18" max="18" width="12.7109375" customWidth="1"/>
    <col min="19" max="19" width="14.42578125" customWidth="1"/>
    <col min="20" max="20" width="12.28515625" customWidth="1"/>
    <col min="21" max="21" width="9.140625" customWidth="1"/>
  </cols>
  <sheetData>
    <row r="1" spans="1:21" ht="30" customHeight="1" x14ac:dyDescent="0.25">
      <c r="L1" t="s">
        <v>131</v>
      </c>
    </row>
    <row r="2" spans="1:21" ht="33" customHeight="1" x14ac:dyDescent="0.25">
      <c r="A2" s="45" t="s">
        <v>150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4"/>
    </row>
    <row r="3" spans="1:21" ht="33" customHeight="1" x14ac:dyDescent="0.25">
      <c r="A3" s="45" t="s">
        <v>151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4"/>
    </row>
    <row r="5" spans="1:21" ht="78" customHeight="1" x14ac:dyDescent="0.25">
      <c r="A5" s="183" t="s">
        <v>0</v>
      </c>
      <c r="B5" s="244" t="s">
        <v>17</v>
      </c>
      <c r="C5" s="244" t="s">
        <v>18</v>
      </c>
      <c r="D5" s="244" t="s">
        <v>19</v>
      </c>
      <c r="E5" s="244" t="s">
        <v>20</v>
      </c>
      <c r="F5" s="244" t="s">
        <v>49</v>
      </c>
      <c r="G5" s="244" t="s">
        <v>50</v>
      </c>
      <c r="H5" s="244" t="s">
        <v>51</v>
      </c>
      <c r="I5" s="244" t="s">
        <v>52</v>
      </c>
      <c r="J5" s="244" t="s">
        <v>53</v>
      </c>
      <c r="K5" s="244" t="s">
        <v>54</v>
      </c>
      <c r="L5" s="244" t="s">
        <v>4</v>
      </c>
    </row>
    <row r="6" spans="1:21" s="133" customFormat="1" x14ac:dyDescent="0.25">
      <c r="A6" s="246">
        <v>1</v>
      </c>
      <c r="B6" s="247">
        <v>2</v>
      </c>
      <c r="C6" s="247">
        <v>3</v>
      </c>
      <c r="D6" s="247">
        <v>4</v>
      </c>
      <c r="E6" s="247">
        <v>5</v>
      </c>
      <c r="F6" s="248">
        <v>6</v>
      </c>
      <c r="G6" s="249">
        <v>7</v>
      </c>
      <c r="H6" s="249">
        <v>8</v>
      </c>
      <c r="I6" s="249">
        <v>9</v>
      </c>
      <c r="J6" s="249">
        <v>10</v>
      </c>
      <c r="K6" s="249">
        <v>11</v>
      </c>
      <c r="L6" s="249">
        <v>12</v>
      </c>
      <c r="M6" s="152"/>
      <c r="N6" s="152"/>
      <c r="O6" s="152"/>
      <c r="P6" s="152"/>
      <c r="Q6" s="152"/>
      <c r="R6" s="152"/>
      <c r="S6" s="152"/>
      <c r="T6" s="152"/>
      <c r="U6" s="152"/>
    </row>
    <row r="7" spans="1:21" ht="63.75" customHeight="1" x14ac:dyDescent="0.25">
      <c r="A7" s="245" t="s">
        <v>152</v>
      </c>
      <c r="B7" s="67">
        <v>1</v>
      </c>
      <c r="C7" s="54">
        <v>10</v>
      </c>
      <c r="D7" s="54">
        <v>9</v>
      </c>
      <c r="E7" s="54">
        <v>8</v>
      </c>
      <c r="F7" s="154">
        <v>1</v>
      </c>
      <c r="G7" s="214">
        <v>2000</v>
      </c>
      <c r="H7" s="215">
        <f>B7*G7/F7</f>
        <v>2000</v>
      </c>
      <c r="I7" s="215">
        <f>C7*G7/F7</f>
        <v>20000</v>
      </c>
      <c r="J7" s="215">
        <f>D7*G7/F7</f>
        <v>18000</v>
      </c>
      <c r="K7" s="215">
        <f>E7*G7/F7</f>
        <v>16000</v>
      </c>
      <c r="L7" s="2" t="s">
        <v>155</v>
      </c>
      <c r="M7" s="24"/>
      <c r="N7" s="24"/>
      <c r="O7" s="24"/>
      <c r="P7" s="24"/>
      <c r="Q7" s="24"/>
      <c r="R7" s="24"/>
      <c r="S7" s="24"/>
      <c r="T7" s="24"/>
      <c r="U7" s="24"/>
    </row>
    <row r="8" spans="1:21" ht="53.25" customHeight="1" x14ac:dyDescent="0.25">
      <c r="A8" s="212" t="s">
        <v>153</v>
      </c>
      <c r="B8" s="67">
        <v>21</v>
      </c>
      <c r="C8" s="54">
        <v>179</v>
      </c>
      <c r="D8" s="54">
        <v>173</v>
      </c>
      <c r="E8" s="54">
        <v>116</v>
      </c>
      <c r="F8" s="155">
        <v>1</v>
      </c>
      <c r="G8" s="216">
        <v>250</v>
      </c>
      <c r="H8" s="215">
        <f>B8*G8/F8</f>
        <v>5250</v>
      </c>
      <c r="I8" s="215">
        <f>C8*G8/F8</f>
        <v>44750</v>
      </c>
      <c r="J8" s="215">
        <f>D8*G8/F8</f>
        <v>43250</v>
      </c>
      <c r="K8" s="215">
        <f>E8*G8/F8</f>
        <v>29000</v>
      </c>
      <c r="L8" s="2" t="s">
        <v>157</v>
      </c>
      <c r="M8" s="24"/>
      <c r="N8" s="24"/>
      <c r="O8" s="24"/>
      <c r="P8" s="24"/>
      <c r="Q8" s="24"/>
      <c r="R8" s="24"/>
      <c r="S8" s="24"/>
      <c r="T8" s="24"/>
      <c r="U8" s="24"/>
    </row>
    <row r="9" spans="1:21" ht="53.25" customHeight="1" x14ac:dyDescent="0.25">
      <c r="A9" s="2" t="s">
        <v>154</v>
      </c>
      <c r="B9" s="67">
        <v>21</v>
      </c>
      <c r="C9" s="54">
        <v>179</v>
      </c>
      <c r="D9" s="54">
        <v>173</v>
      </c>
      <c r="E9" s="54">
        <v>116</v>
      </c>
      <c r="F9" s="155">
        <v>1</v>
      </c>
      <c r="G9" s="214">
        <v>1600</v>
      </c>
      <c r="H9" s="215">
        <f>B9*G9/F9</f>
        <v>33600</v>
      </c>
      <c r="I9" s="215">
        <f>C9*G9/F9</f>
        <v>286400</v>
      </c>
      <c r="J9" s="215">
        <f>D9*G9/F9</f>
        <v>276800</v>
      </c>
      <c r="K9" s="215">
        <f>E9*G9/F9</f>
        <v>185600</v>
      </c>
      <c r="L9" s="2" t="s">
        <v>156</v>
      </c>
    </row>
    <row r="10" spans="1:21" s="109" customFormat="1" x14ac:dyDescent="0.25">
      <c r="A10" s="239"/>
      <c r="B10" s="108"/>
      <c r="C10" s="108"/>
      <c r="D10" s="108"/>
      <c r="E10" s="108"/>
      <c r="F10" s="156"/>
      <c r="G10" s="108" t="s">
        <v>146</v>
      </c>
      <c r="H10" s="217">
        <f>H7+H8+H9</f>
        <v>40850</v>
      </c>
      <c r="I10" s="217">
        <f t="shared" ref="I10:K10" si="0">I7+I8+I9</f>
        <v>351150</v>
      </c>
      <c r="J10" s="217">
        <f t="shared" si="0"/>
        <v>338050</v>
      </c>
      <c r="K10" s="217">
        <f t="shared" si="0"/>
        <v>230600</v>
      </c>
      <c r="L10" s="108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F35"/>
  <sheetViews>
    <sheetView topLeftCell="M6" zoomScale="80" zoomScaleNormal="80" workbookViewId="0">
      <selection activeCell="AA26" sqref="AA26"/>
    </sheetView>
  </sheetViews>
  <sheetFormatPr defaultRowHeight="15" x14ac:dyDescent="0.25"/>
  <cols>
    <col min="1" max="1" width="35.42578125" customWidth="1"/>
    <col min="2" max="2" width="12.140625" customWidth="1"/>
    <col min="3" max="3" width="17.85546875" customWidth="1"/>
    <col min="4" max="4" width="11.7109375" customWidth="1"/>
    <col min="5" max="5" width="11.85546875" customWidth="1"/>
    <col min="6" max="6" width="11.28515625" customWidth="1"/>
    <col min="7" max="7" width="12.5703125" customWidth="1"/>
    <col min="8" max="8" width="11.85546875" customWidth="1"/>
    <col min="9" max="9" width="13.140625" customWidth="1"/>
    <col min="10" max="10" width="13.28515625" customWidth="1"/>
    <col min="11" max="11" width="13.5703125" customWidth="1"/>
    <col min="12" max="12" width="14.28515625" customWidth="1"/>
    <col min="13" max="13" width="12.140625" customWidth="1"/>
    <col min="15" max="15" width="11" customWidth="1"/>
    <col min="16" max="16" width="12.5703125" customWidth="1"/>
    <col min="17" max="17" width="13.7109375" customWidth="1"/>
    <col min="18" max="18" width="13" customWidth="1"/>
    <col min="19" max="19" width="13.7109375" customWidth="1"/>
    <col min="20" max="20" width="14.140625" customWidth="1"/>
    <col min="21" max="21" width="14.42578125" customWidth="1"/>
    <col min="22" max="25" width="10.7109375" customWidth="1"/>
    <col min="26" max="26" width="11.140625" customWidth="1"/>
    <col min="27" max="27" width="13.7109375" customWidth="1"/>
    <col min="28" max="28" width="12.140625" customWidth="1"/>
    <col min="29" max="29" width="12.7109375" customWidth="1"/>
    <col min="30" max="30" width="14.42578125" customWidth="1"/>
    <col min="31" max="31" width="12.28515625" customWidth="1"/>
    <col min="32" max="32" width="9.140625" customWidth="1"/>
  </cols>
  <sheetData>
    <row r="1" spans="1:32" ht="30" customHeight="1" x14ac:dyDescent="0.25">
      <c r="U1" t="s">
        <v>131</v>
      </c>
    </row>
    <row r="2" spans="1:32" ht="33" customHeight="1" x14ac:dyDescent="0.25">
      <c r="A2" s="45" t="s">
        <v>140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4"/>
      <c r="W2" s="44"/>
      <c r="X2" s="44"/>
      <c r="Y2" s="44"/>
    </row>
    <row r="3" spans="1:32" ht="33" customHeight="1" x14ac:dyDescent="0.25">
      <c r="A3" s="45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/>
      <c r="W3" s="44"/>
      <c r="X3" s="44"/>
      <c r="Y3" s="44"/>
    </row>
    <row r="4" spans="1:32" ht="15.75" thickBot="1" x14ac:dyDescent="0.3"/>
    <row r="5" spans="1:32" ht="78" customHeight="1" thickBot="1" x14ac:dyDescent="0.3">
      <c r="A5" s="147" t="s">
        <v>14</v>
      </c>
      <c r="B5" s="147" t="s">
        <v>15</v>
      </c>
      <c r="C5" s="226" t="s">
        <v>16</v>
      </c>
      <c r="D5" s="222" t="s">
        <v>17</v>
      </c>
      <c r="E5" s="223" t="s">
        <v>18</v>
      </c>
      <c r="F5" s="223" t="s">
        <v>19</v>
      </c>
      <c r="G5" s="223" t="s">
        <v>20</v>
      </c>
      <c r="H5" s="223" t="s">
        <v>21</v>
      </c>
      <c r="I5" s="223" t="s">
        <v>22</v>
      </c>
      <c r="J5" s="223" t="s">
        <v>23</v>
      </c>
      <c r="K5" s="223" t="s">
        <v>24</v>
      </c>
      <c r="L5" s="223" t="s">
        <v>25</v>
      </c>
      <c r="M5" s="223" t="s">
        <v>4</v>
      </c>
      <c r="N5" s="224" t="s">
        <v>49</v>
      </c>
      <c r="O5" s="228" t="s">
        <v>50</v>
      </c>
      <c r="P5" s="228" t="s">
        <v>51</v>
      </c>
      <c r="Q5" s="228" t="s">
        <v>52</v>
      </c>
      <c r="R5" s="228" t="s">
        <v>53</v>
      </c>
      <c r="S5" s="228" t="s">
        <v>54</v>
      </c>
      <c r="T5" s="228" t="s">
        <v>4</v>
      </c>
    </row>
    <row r="6" spans="1:32" ht="15.75" thickBot="1" x14ac:dyDescent="0.3">
      <c r="A6" s="55">
        <v>1</v>
      </c>
      <c r="B6" s="56"/>
      <c r="C6" s="56"/>
      <c r="D6" s="19">
        <v>2</v>
      </c>
      <c r="E6" s="20">
        <v>3</v>
      </c>
      <c r="F6" s="20">
        <v>4</v>
      </c>
      <c r="G6" s="20">
        <v>5</v>
      </c>
      <c r="H6" s="21"/>
      <c r="I6" s="20"/>
      <c r="J6" s="20"/>
      <c r="K6" s="20"/>
      <c r="L6" s="20"/>
      <c r="M6" s="30"/>
      <c r="N6" s="31">
        <v>6</v>
      </c>
      <c r="O6" s="31">
        <v>7</v>
      </c>
      <c r="P6" s="31" t="s">
        <v>55</v>
      </c>
      <c r="Q6" s="31" t="s">
        <v>56</v>
      </c>
      <c r="R6" s="31" t="s">
        <v>57</v>
      </c>
      <c r="S6" s="32" t="s">
        <v>58</v>
      </c>
      <c r="T6" s="32">
        <v>12</v>
      </c>
    </row>
    <row r="7" spans="1:32" ht="15.75" thickBot="1" x14ac:dyDescent="0.3">
      <c r="A7" s="60">
        <v>1</v>
      </c>
      <c r="B7" s="60">
        <v>2</v>
      </c>
      <c r="C7" s="60">
        <v>3</v>
      </c>
      <c r="D7" s="65" t="s">
        <v>127</v>
      </c>
      <c r="E7" s="65" t="s">
        <v>128</v>
      </c>
      <c r="F7" s="65" t="s">
        <v>129</v>
      </c>
      <c r="G7" s="65" t="s">
        <v>130</v>
      </c>
      <c r="H7" s="66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23">
        <v>14</v>
      </c>
      <c r="O7" s="33">
        <v>15</v>
      </c>
      <c r="P7" s="33"/>
      <c r="Q7" s="33"/>
      <c r="R7" s="33"/>
      <c r="S7" s="33"/>
      <c r="T7" s="36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15.75" customHeight="1" thickBot="1" x14ac:dyDescent="0.3">
      <c r="A8" s="293" t="s">
        <v>31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24"/>
    </row>
    <row r="9" spans="1:32" ht="15.75" customHeight="1" thickBot="1" x14ac:dyDescent="0.3">
      <c r="A9" s="34" t="s">
        <v>70</v>
      </c>
      <c r="B9" s="8" t="s">
        <v>28</v>
      </c>
      <c r="C9" s="9">
        <v>2</v>
      </c>
      <c r="D9" s="10">
        <f>H9/I9</f>
        <v>0.13333333333333333</v>
      </c>
      <c r="E9" s="11">
        <f>H9/J9</f>
        <v>0.18181818181818182</v>
      </c>
      <c r="F9" s="11">
        <f>H9/K9</f>
        <v>0.2857142857142857</v>
      </c>
      <c r="G9" s="11">
        <f>H9/L9</f>
        <v>0.5</v>
      </c>
      <c r="H9" s="12">
        <f t="shared" ref="H9:H20" si="0">C9</f>
        <v>2</v>
      </c>
      <c r="I9" s="12">
        <v>15</v>
      </c>
      <c r="J9" s="12">
        <v>11</v>
      </c>
      <c r="K9" s="12">
        <v>7</v>
      </c>
      <c r="L9" s="80">
        <v>4</v>
      </c>
      <c r="M9" s="298" t="s">
        <v>27</v>
      </c>
      <c r="N9" s="121">
        <v>7</v>
      </c>
      <c r="O9" s="250">
        <v>15000</v>
      </c>
      <c r="P9" s="220">
        <f>D9*O9/N9</f>
        <v>285.71428571428572</v>
      </c>
      <c r="Q9" s="220">
        <f>E9*O9/N9</f>
        <v>389.61038961038963</v>
      </c>
      <c r="R9" s="220">
        <f>F9*O9/N9</f>
        <v>612.24489795918362</v>
      </c>
      <c r="S9" s="220">
        <f>G9*O9/N9</f>
        <v>1071.4285714285713</v>
      </c>
      <c r="T9" s="3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17.25" customHeight="1" thickBot="1" x14ac:dyDescent="0.3">
      <c r="A10" s="15" t="s">
        <v>71</v>
      </c>
      <c r="B10" s="8" t="s">
        <v>28</v>
      </c>
      <c r="C10" s="9">
        <v>20</v>
      </c>
      <c r="D10" s="10">
        <f t="shared" ref="D10:D20" si="1">H10/I10</f>
        <v>1.3333333333333333</v>
      </c>
      <c r="E10" s="11">
        <f t="shared" ref="E10:E20" si="2">H10/J10</f>
        <v>1.8181818181818181</v>
      </c>
      <c r="F10" s="11">
        <f t="shared" ref="F10:F20" si="3">H10/K10</f>
        <v>2.8571428571428572</v>
      </c>
      <c r="G10" s="11">
        <f t="shared" ref="G10:G20" si="4">H10/L10</f>
        <v>5</v>
      </c>
      <c r="H10" s="12">
        <f t="shared" si="0"/>
        <v>20</v>
      </c>
      <c r="I10" s="12">
        <v>15</v>
      </c>
      <c r="J10" s="12">
        <v>11</v>
      </c>
      <c r="K10" s="12">
        <v>7</v>
      </c>
      <c r="L10" s="80">
        <v>4</v>
      </c>
      <c r="M10" s="299"/>
      <c r="N10" s="84">
        <v>1</v>
      </c>
      <c r="O10" s="251">
        <v>650</v>
      </c>
      <c r="P10" s="220">
        <f t="shared" ref="P10:P20" si="5">D10*O10/N10</f>
        <v>866.66666666666663</v>
      </c>
      <c r="Q10" s="220">
        <f t="shared" ref="Q10:Q20" si="6">E10*O10/N10</f>
        <v>1181.8181818181818</v>
      </c>
      <c r="R10" s="220">
        <f t="shared" ref="R10:R20" si="7">F10*O10/N10</f>
        <v>1857.1428571428571</v>
      </c>
      <c r="S10" s="220">
        <f t="shared" ref="S10:S20" si="8">G10*O10/N10</f>
        <v>3250</v>
      </c>
      <c r="T10" s="3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15.75" thickBot="1" x14ac:dyDescent="0.3">
      <c r="A11" s="15" t="s">
        <v>72</v>
      </c>
      <c r="B11" s="8" t="s">
        <v>28</v>
      </c>
      <c r="C11" s="9">
        <v>2</v>
      </c>
      <c r="D11" s="10">
        <f t="shared" si="1"/>
        <v>0.13333333333333333</v>
      </c>
      <c r="E11" s="11">
        <f t="shared" si="2"/>
        <v>0.18181818181818182</v>
      </c>
      <c r="F11" s="11">
        <f t="shared" si="3"/>
        <v>0.2857142857142857</v>
      </c>
      <c r="G11" s="11">
        <f t="shared" si="4"/>
        <v>0.5</v>
      </c>
      <c r="H11" s="12">
        <f t="shared" si="0"/>
        <v>2</v>
      </c>
      <c r="I11" s="12">
        <v>15</v>
      </c>
      <c r="J11" s="12">
        <v>11</v>
      </c>
      <c r="K11" s="12">
        <v>7</v>
      </c>
      <c r="L11" s="80">
        <v>4</v>
      </c>
      <c r="M11" s="299"/>
      <c r="N11" s="84">
        <v>5</v>
      </c>
      <c r="O11" s="252">
        <v>5200</v>
      </c>
      <c r="P11" s="220">
        <f t="shared" si="5"/>
        <v>138.66666666666669</v>
      </c>
      <c r="Q11" s="220">
        <f t="shared" si="6"/>
        <v>189.09090909090909</v>
      </c>
      <c r="R11" s="220">
        <f t="shared" si="7"/>
        <v>297.14285714285711</v>
      </c>
      <c r="S11" s="220">
        <f t="shared" si="8"/>
        <v>520</v>
      </c>
      <c r="T11" s="36"/>
    </row>
    <row r="12" spans="1:32" ht="15.75" thickBot="1" x14ac:dyDescent="0.3">
      <c r="A12" s="15" t="s">
        <v>73</v>
      </c>
      <c r="B12" s="8" t="s">
        <v>28</v>
      </c>
      <c r="C12" s="9">
        <v>10</v>
      </c>
      <c r="D12" s="10">
        <f t="shared" si="1"/>
        <v>0.66666666666666663</v>
      </c>
      <c r="E12" s="11">
        <f t="shared" si="2"/>
        <v>0.90909090909090906</v>
      </c>
      <c r="F12" s="11">
        <f t="shared" si="3"/>
        <v>1.4285714285714286</v>
      </c>
      <c r="G12" s="11">
        <f t="shared" si="4"/>
        <v>2.5</v>
      </c>
      <c r="H12" s="12">
        <f t="shared" si="0"/>
        <v>10</v>
      </c>
      <c r="I12" s="12">
        <v>15</v>
      </c>
      <c r="J12" s="12">
        <v>11</v>
      </c>
      <c r="K12" s="12">
        <v>7</v>
      </c>
      <c r="L12" s="80">
        <v>4</v>
      </c>
      <c r="M12" s="299"/>
      <c r="N12" s="86">
        <v>1</v>
      </c>
      <c r="O12" s="251">
        <v>20</v>
      </c>
      <c r="P12" s="220">
        <f t="shared" si="5"/>
        <v>13.333333333333332</v>
      </c>
      <c r="Q12" s="220">
        <f t="shared" si="6"/>
        <v>18.18181818181818</v>
      </c>
      <c r="R12" s="220">
        <f t="shared" si="7"/>
        <v>28.571428571428573</v>
      </c>
      <c r="S12" s="220">
        <f t="shared" si="8"/>
        <v>50</v>
      </c>
      <c r="T12" s="36"/>
    </row>
    <row r="13" spans="1:32" ht="15.75" thickBot="1" x14ac:dyDescent="0.3">
      <c r="A13" s="15" t="s">
        <v>74</v>
      </c>
      <c r="B13" s="8" t="s">
        <v>28</v>
      </c>
      <c r="C13" s="9">
        <v>20</v>
      </c>
      <c r="D13" s="10">
        <f t="shared" si="1"/>
        <v>1.3333333333333333</v>
      </c>
      <c r="E13" s="11">
        <f t="shared" si="2"/>
        <v>1.8181818181818181</v>
      </c>
      <c r="F13" s="11">
        <f t="shared" si="3"/>
        <v>2.8571428571428572</v>
      </c>
      <c r="G13" s="11">
        <f t="shared" si="4"/>
        <v>5</v>
      </c>
      <c r="H13" s="12">
        <f t="shared" si="0"/>
        <v>20</v>
      </c>
      <c r="I13" s="12">
        <v>15</v>
      </c>
      <c r="J13" s="12">
        <v>11</v>
      </c>
      <c r="K13" s="12">
        <v>7</v>
      </c>
      <c r="L13" s="80">
        <v>4</v>
      </c>
      <c r="M13" s="299"/>
      <c r="N13" s="86">
        <v>1</v>
      </c>
      <c r="O13" s="251">
        <v>1300</v>
      </c>
      <c r="P13" s="220">
        <f t="shared" si="5"/>
        <v>1733.3333333333333</v>
      </c>
      <c r="Q13" s="220">
        <f t="shared" si="6"/>
        <v>2363.6363636363635</v>
      </c>
      <c r="R13" s="220">
        <f t="shared" si="7"/>
        <v>3714.2857142857142</v>
      </c>
      <c r="S13" s="220">
        <f t="shared" si="8"/>
        <v>6500</v>
      </c>
      <c r="T13" s="36"/>
    </row>
    <row r="14" spans="1:32" ht="15.75" thickBot="1" x14ac:dyDescent="0.3">
      <c r="A14" s="15" t="s">
        <v>75</v>
      </c>
      <c r="B14" s="8" t="s">
        <v>28</v>
      </c>
      <c r="C14" s="9">
        <v>5</v>
      </c>
      <c r="D14" s="10">
        <f t="shared" si="1"/>
        <v>0.33333333333333331</v>
      </c>
      <c r="E14" s="11">
        <f t="shared" si="2"/>
        <v>0.45454545454545453</v>
      </c>
      <c r="F14" s="11">
        <f t="shared" si="3"/>
        <v>0.7142857142857143</v>
      </c>
      <c r="G14" s="11">
        <f t="shared" si="4"/>
        <v>1.25</v>
      </c>
      <c r="H14" s="12">
        <f t="shared" si="0"/>
        <v>5</v>
      </c>
      <c r="I14" s="12">
        <v>15</v>
      </c>
      <c r="J14" s="12">
        <v>11</v>
      </c>
      <c r="K14" s="12">
        <v>7</v>
      </c>
      <c r="L14" s="80">
        <v>4</v>
      </c>
      <c r="M14" s="299"/>
      <c r="N14" s="86">
        <v>3</v>
      </c>
      <c r="O14" s="251">
        <v>3600</v>
      </c>
      <c r="P14" s="220">
        <f t="shared" si="5"/>
        <v>400</v>
      </c>
      <c r="Q14" s="220">
        <f t="shared" si="6"/>
        <v>545.45454545454538</v>
      </c>
      <c r="R14" s="220">
        <f t="shared" si="7"/>
        <v>857.14285714285722</v>
      </c>
      <c r="S14" s="220">
        <f t="shared" si="8"/>
        <v>1500</v>
      </c>
      <c r="T14" s="36"/>
    </row>
    <row r="15" spans="1:32" ht="15.75" thickBot="1" x14ac:dyDescent="0.3">
      <c r="A15" s="25" t="s">
        <v>76</v>
      </c>
      <c r="B15" s="13" t="s">
        <v>28</v>
      </c>
      <c r="C15" s="14">
        <v>50</v>
      </c>
      <c r="D15" s="10">
        <f t="shared" si="1"/>
        <v>3.3333333333333335</v>
      </c>
      <c r="E15" s="11">
        <f t="shared" si="2"/>
        <v>4.5454545454545459</v>
      </c>
      <c r="F15" s="11">
        <f t="shared" si="3"/>
        <v>7.1428571428571432</v>
      </c>
      <c r="G15" s="11">
        <f t="shared" si="4"/>
        <v>12.5</v>
      </c>
      <c r="H15" s="12">
        <f t="shared" si="0"/>
        <v>50</v>
      </c>
      <c r="I15" s="12">
        <v>15</v>
      </c>
      <c r="J15" s="12">
        <v>11</v>
      </c>
      <c r="K15" s="12">
        <v>7</v>
      </c>
      <c r="L15" s="80">
        <v>4</v>
      </c>
      <c r="M15" s="299"/>
      <c r="N15" s="86">
        <v>1</v>
      </c>
      <c r="O15" s="251">
        <v>600</v>
      </c>
      <c r="P15" s="220">
        <f t="shared" si="5"/>
        <v>2000</v>
      </c>
      <c r="Q15" s="220">
        <f t="shared" si="6"/>
        <v>2727.2727272727275</v>
      </c>
      <c r="R15" s="220">
        <f t="shared" si="7"/>
        <v>4285.7142857142862</v>
      </c>
      <c r="S15" s="220">
        <f t="shared" si="8"/>
        <v>7500</v>
      </c>
      <c r="T15" s="36"/>
    </row>
    <row r="16" spans="1:32" ht="30.75" thickBot="1" x14ac:dyDescent="0.3">
      <c r="A16" s="46" t="s">
        <v>77</v>
      </c>
      <c r="B16" s="5" t="s">
        <v>28</v>
      </c>
      <c r="C16" s="5">
        <v>20</v>
      </c>
      <c r="D16" s="10">
        <f t="shared" si="1"/>
        <v>1.3333333333333333</v>
      </c>
      <c r="E16" s="11">
        <f t="shared" si="2"/>
        <v>1.8181818181818181</v>
      </c>
      <c r="F16" s="11">
        <f t="shared" si="3"/>
        <v>2.8571428571428572</v>
      </c>
      <c r="G16" s="11">
        <f t="shared" si="4"/>
        <v>5</v>
      </c>
      <c r="H16" s="12">
        <f t="shared" si="0"/>
        <v>20</v>
      </c>
      <c r="I16" s="12">
        <v>15</v>
      </c>
      <c r="J16" s="12">
        <v>11</v>
      </c>
      <c r="K16" s="12">
        <v>7</v>
      </c>
      <c r="L16" s="80">
        <v>4</v>
      </c>
      <c r="M16" s="299"/>
      <c r="N16" s="86">
        <v>3</v>
      </c>
      <c r="O16" s="251">
        <v>1700</v>
      </c>
      <c r="P16" s="220">
        <f t="shared" si="5"/>
        <v>755.55555555555554</v>
      </c>
      <c r="Q16" s="220">
        <f t="shared" si="6"/>
        <v>1030.3030303030303</v>
      </c>
      <c r="R16" s="220">
        <f t="shared" si="7"/>
        <v>1619.047619047619</v>
      </c>
      <c r="S16" s="220">
        <f t="shared" si="8"/>
        <v>2833.3333333333335</v>
      </c>
      <c r="T16" s="36"/>
    </row>
    <row r="17" spans="1:31" ht="15.75" thickBot="1" x14ac:dyDescent="0.3">
      <c r="A17" s="15" t="s">
        <v>29</v>
      </c>
      <c r="B17" s="8" t="s">
        <v>28</v>
      </c>
      <c r="C17" s="8">
        <v>4</v>
      </c>
      <c r="D17" s="10">
        <f t="shared" si="1"/>
        <v>0.26666666666666666</v>
      </c>
      <c r="E17" s="11">
        <f t="shared" si="2"/>
        <v>0.36363636363636365</v>
      </c>
      <c r="F17" s="11">
        <f t="shared" si="3"/>
        <v>0.5714285714285714</v>
      </c>
      <c r="G17" s="11">
        <f t="shared" si="4"/>
        <v>1</v>
      </c>
      <c r="H17" s="12">
        <f t="shared" si="0"/>
        <v>4</v>
      </c>
      <c r="I17" s="12">
        <v>15</v>
      </c>
      <c r="J17" s="12">
        <v>11</v>
      </c>
      <c r="K17" s="12">
        <v>7</v>
      </c>
      <c r="L17" s="80">
        <v>4</v>
      </c>
      <c r="M17" s="299"/>
      <c r="N17" s="86">
        <v>1</v>
      </c>
      <c r="O17" s="251">
        <v>1050</v>
      </c>
      <c r="P17" s="220">
        <f t="shared" si="5"/>
        <v>280</v>
      </c>
      <c r="Q17" s="220">
        <f t="shared" si="6"/>
        <v>381.81818181818181</v>
      </c>
      <c r="R17" s="220">
        <f t="shared" si="7"/>
        <v>600</v>
      </c>
      <c r="S17" s="220">
        <f t="shared" si="8"/>
        <v>1050</v>
      </c>
      <c r="T17" s="36"/>
    </row>
    <row r="18" spans="1:31" ht="15.75" thickBot="1" x14ac:dyDescent="0.3">
      <c r="A18" s="15" t="s">
        <v>30</v>
      </c>
      <c r="B18" s="8" t="s">
        <v>28</v>
      </c>
      <c r="C18" s="9">
        <v>4</v>
      </c>
      <c r="D18" s="10">
        <f t="shared" si="1"/>
        <v>0.26666666666666666</v>
      </c>
      <c r="E18" s="11">
        <f t="shared" si="2"/>
        <v>0.36363636363636365</v>
      </c>
      <c r="F18" s="11">
        <f t="shared" si="3"/>
        <v>0.5714285714285714</v>
      </c>
      <c r="G18" s="11">
        <f t="shared" si="4"/>
        <v>1</v>
      </c>
      <c r="H18" s="12">
        <f t="shared" si="0"/>
        <v>4</v>
      </c>
      <c r="I18" s="12">
        <v>15</v>
      </c>
      <c r="J18" s="12">
        <v>11</v>
      </c>
      <c r="K18" s="12">
        <v>7</v>
      </c>
      <c r="L18" s="80">
        <v>4</v>
      </c>
      <c r="M18" s="299"/>
      <c r="N18" s="86">
        <v>3</v>
      </c>
      <c r="O18" s="251">
        <v>41240</v>
      </c>
      <c r="P18" s="220">
        <f t="shared" si="5"/>
        <v>3665.7777777777778</v>
      </c>
      <c r="Q18" s="220">
        <f t="shared" si="6"/>
        <v>4998.787878787879</v>
      </c>
      <c r="R18" s="220">
        <f t="shared" si="7"/>
        <v>7855.2380952380945</v>
      </c>
      <c r="S18" s="220">
        <f t="shared" si="8"/>
        <v>13746.666666666666</v>
      </c>
      <c r="T18" s="36"/>
    </row>
    <row r="19" spans="1:31" ht="15.75" customHeight="1" thickBot="1" x14ac:dyDescent="0.3">
      <c r="A19" s="15" t="s">
        <v>78</v>
      </c>
      <c r="B19" s="8" t="s">
        <v>28</v>
      </c>
      <c r="C19" s="9">
        <v>6</v>
      </c>
      <c r="D19" s="89">
        <f t="shared" si="1"/>
        <v>0.4</v>
      </c>
      <c r="E19" s="90">
        <f t="shared" si="2"/>
        <v>0.54545454545454541</v>
      </c>
      <c r="F19" s="90">
        <f t="shared" si="3"/>
        <v>0.8571428571428571</v>
      </c>
      <c r="G19" s="90">
        <f t="shared" si="4"/>
        <v>1.5</v>
      </c>
      <c r="H19" s="91">
        <f t="shared" si="0"/>
        <v>6</v>
      </c>
      <c r="I19" s="91">
        <v>15</v>
      </c>
      <c r="J19" s="91">
        <v>11</v>
      </c>
      <c r="K19" s="91">
        <v>7</v>
      </c>
      <c r="L19" s="92">
        <v>4</v>
      </c>
      <c r="M19" s="299"/>
      <c r="N19" s="86">
        <v>3</v>
      </c>
      <c r="O19" s="251">
        <v>6000</v>
      </c>
      <c r="P19" s="220">
        <f t="shared" si="5"/>
        <v>800</v>
      </c>
      <c r="Q19" s="220">
        <f t="shared" si="6"/>
        <v>1090.9090909090908</v>
      </c>
      <c r="R19" s="220">
        <f t="shared" si="7"/>
        <v>1714.285714285714</v>
      </c>
      <c r="S19" s="220">
        <f t="shared" si="8"/>
        <v>3000</v>
      </c>
      <c r="T19" s="36"/>
    </row>
    <row r="20" spans="1:31" ht="15" customHeight="1" x14ac:dyDescent="0.25">
      <c r="A20" s="25" t="s">
        <v>79</v>
      </c>
      <c r="B20" s="13" t="s">
        <v>28</v>
      </c>
      <c r="C20" s="14">
        <v>2</v>
      </c>
      <c r="D20" s="102">
        <f t="shared" si="1"/>
        <v>0.13333333333333333</v>
      </c>
      <c r="E20" s="103">
        <f t="shared" si="2"/>
        <v>0.18181818181818182</v>
      </c>
      <c r="F20" s="103">
        <f t="shared" si="3"/>
        <v>0.2857142857142857</v>
      </c>
      <c r="G20" s="103">
        <f t="shared" si="4"/>
        <v>0.5</v>
      </c>
      <c r="H20" s="104">
        <f t="shared" si="0"/>
        <v>2</v>
      </c>
      <c r="I20" s="104">
        <v>15</v>
      </c>
      <c r="J20" s="104">
        <v>11</v>
      </c>
      <c r="K20" s="104">
        <v>7</v>
      </c>
      <c r="L20" s="105">
        <v>4</v>
      </c>
      <c r="M20" s="299"/>
      <c r="N20" s="106">
        <v>1</v>
      </c>
      <c r="O20" s="253">
        <v>350</v>
      </c>
      <c r="P20" s="220">
        <f t="shared" si="5"/>
        <v>46.666666666666664</v>
      </c>
      <c r="Q20" s="220">
        <f t="shared" si="6"/>
        <v>63.63636363636364</v>
      </c>
      <c r="R20" s="220">
        <f t="shared" si="7"/>
        <v>100</v>
      </c>
      <c r="S20" s="220">
        <f t="shared" si="8"/>
        <v>175</v>
      </c>
      <c r="T20" s="37"/>
    </row>
    <row r="21" spans="1:31" s="109" customForma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 t="s">
        <v>146</v>
      </c>
      <c r="P21" s="254">
        <f>P9+P10+P11+P12+P13+P15+P14+P16+P17+P18+P19+P20</f>
        <v>10985.714285714284</v>
      </c>
      <c r="Q21" s="254">
        <f t="shared" ref="Q21:S21" si="9">Q9+Q10+Q11+Q12+Q13+Q15+Q14+Q16+Q17+Q18+Q19+Q20</f>
        <v>14980.519480519482</v>
      </c>
      <c r="R21" s="254">
        <f t="shared" si="9"/>
        <v>23540.81632653061</v>
      </c>
      <c r="S21" s="254">
        <f t="shared" si="9"/>
        <v>41196.428571428572</v>
      </c>
      <c r="T21" s="108"/>
    </row>
    <row r="22" spans="1:31" s="109" customFormat="1" ht="18" customHeight="1" thickBot="1" x14ac:dyDescent="0.3">
      <c r="A22" s="300" t="s">
        <v>147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</row>
    <row r="23" spans="1:31" ht="148.5" customHeight="1" thickBot="1" x14ac:dyDescent="0.3">
      <c r="A23" s="229" t="s">
        <v>33</v>
      </c>
      <c r="B23" s="229" t="s">
        <v>15</v>
      </c>
      <c r="C23" s="229" t="s">
        <v>34</v>
      </c>
      <c r="D23" s="230" t="s">
        <v>132</v>
      </c>
      <c r="E23" s="231" t="s">
        <v>133</v>
      </c>
      <c r="F23" s="231" t="s">
        <v>134</v>
      </c>
      <c r="G23" s="231" t="s">
        <v>135</v>
      </c>
      <c r="H23" s="231" t="s">
        <v>136</v>
      </c>
      <c r="I23" s="231" t="s">
        <v>137</v>
      </c>
      <c r="J23" s="231" t="s">
        <v>138</v>
      </c>
      <c r="K23" s="231" t="s">
        <v>139</v>
      </c>
      <c r="L23" s="232" t="s">
        <v>17</v>
      </c>
      <c r="M23" s="233" t="s">
        <v>18</v>
      </c>
      <c r="N23" s="233" t="s">
        <v>19</v>
      </c>
      <c r="O23" s="233" t="s">
        <v>20</v>
      </c>
      <c r="P23" s="223" t="s">
        <v>22</v>
      </c>
      <c r="Q23" s="223" t="s">
        <v>23</v>
      </c>
      <c r="R23" s="223" t="s">
        <v>24</v>
      </c>
      <c r="S23" s="223" t="s">
        <v>25</v>
      </c>
      <c r="T23" s="223" t="s">
        <v>35</v>
      </c>
      <c r="U23" s="234" t="s">
        <v>4</v>
      </c>
      <c r="V23" s="224" t="s">
        <v>49</v>
      </c>
      <c r="W23" s="228" t="s">
        <v>261</v>
      </c>
      <c r="X23" s="228" t="s">
        <v>262</v>
      </c>
      <c r="Y23" s="228" t="s">
        <v>263</v>
      </c>
      <c r="Z23" s="228" t="s">
        <v>264</v>
      </c>
      <c r="AA23" s="228" t="s">
        <v>51</v>
      </c>
      <c r="AB23" s="228" t="s">
        <v>52</v>
      </c>
      <c r="AC23" s="228" t="s">
        <v>53</v>
      </c>
      <c r="AD23" s="228" t="s">
        <v>54</v>
      </c>
      <c r="AE23" s="228" t="s">
        <v>4</v>
      </c>
    </row>
    <row r="24" spans="1:31" ht="15.75" thickBot="1" x14ac:dyDescent="0.3">
      <c r="A24" s="5">
        <v>1</v>
      </c>
      <c r="B24" s="57"/>
      <c r="C24" s="57"/>
      <c r="D24" s="57"/>
      <c r="E24" s="57"/>
      <c r="F24" s="57"/>
      <c r="G24" s="57"/>
      <c r="H24" s="57"/>
      <c r="I24" s="57"/>
      <c r="J24" s="57"/>
      <c r="K24" s="56"/>
      <c r="L24" s="26" t="s">
        <v>36</v>
      </c>
      <c r="M24" s="27" t="s">
        <v>37</v>
      </c>
      <c r="N24" s="27" t="s">
        <v>38</v>
      </c>
      <c r="O24" s="27" t="s">
        <v>39</v>
      </c>
      <c r="P24" s="28">
        <v>6</v>
      </c>
      <c r="Q24" s="27">
        <v>7</v>
      </c>
      <c r="R24" s="27">
        <v>8</v>
      </c>
      <c r="S24" s="27">
        <v>9</v>
      </c>
      <c r="T24" s="29">
        <v>10</v>
      </c>
      <c r="U24" s="7">
        <v>11</v>
      </c>
      <c r="V24" s="110">
        <v>12</v>
      </c>
      <c r="W24" s="17"/>
      <c r="X24" s="17"/>
      <c r="Y24" s="17"/>
      <c r="Z24" s="111">
        <v>13</v>
      </c>
      <c r="AA24" s="111">
        <v>14</v>
      </c>
      <c r="AB24" s="111">
        <v>15</v>
      </c>
      <c r="AC24" s="111">
        <v>16</v>
      </c>
      <c r="AD24" s="111">
        <v>17</v>
      </c>
      <c r="AE24" s="111">
        <v>18</v>
      </c>
    </row>
    <row r="25" spans="1:31" ht="17.25" customHeight="1" thickBot="1" x14ac:dyDescent="0.3">
      <c r="A25" s="53" t="s">
        <v>80</v>
      </c>
      <c r="B25" s="8" t="s">
        <v>42</v>
      </c>
      <c r="C25" s="43" t="s">
        <v>40</v>
      </c>
      <c r="D25" s="51" t="s">
        <v>41</v>
      </c>
      <c r="E25" s="47" t="s">
        <v>41</v>
      </c>
      <c r="F25" s="51">
        <v>1</v>
      </c>
      <c r="G25" s="47">
        <v>12</v>
      </c>
      <c r="H25" s="51">
        <v>1</v>
      </c>
      <c r="I25" s="47">
        <v>12</v>
      </c>
      <c r="J25" s="51">
        <v>1</v>
      </c>
      <c r="K25" s="48">
        <v>12</v>
      </c>
      <c r="L25" s="52">
        <f>P25/T25</f>
        <v>0</v>
      </c>
      <c r="M25" s="49">
        <f>Q25/T25</f>
        <v>1</v>
      </c>
      <c r="N25" s="49">
        <f>R25/T25</f>
        <v>1</v>
      </c>
      <c r="O25" s="49">
        <f>S25/T25</f>
        <v>1</v>
      </c>
      <c r="P25" s="49">
        <v>0</v>
      </c>
      <c r="Q25" s="49">
        <f>F25</f>
        <v>1</v>
      </c>
      <c r="R25" s="49">
        <f>H25</f>
        <v>1</v>
      </c>
      <c r="S25" s="49">
        <f>J25</f>
        <v>1</v>
      </c>
      <c r="T25" s="95">
        <v>1</v>
      </c>
      <c r="U25" s="295" t="s">
        <v>48</v>
      </c>
      <c r="V25" s="267">
        <v>1</v>
      </c>
      <c r="W25" s="23">
        <v>1000</v>
      </c>
      <c r="X25" s="23"/>
      <c r="Y25" s="23"/>
      <c r="Z25" s="255">
        <v>350</v>
      </c>
      <c r="AA25" s="256">
        <f>L25*W25/1</f>
        <v>0</v>
      </c>
      <c r="AB25" s="256">
        <f t="shared" ref="AB25:AB33" si="10">M25*Z25/1</f>
        <v>350</v>
      </c>
      <c r="AC25" s="256">
        <f>N25*Z25/1</f>
        <v>350</v>
      </c>
      <c r="AD25" s="256">
        <f>O25*Z25/1</f>
        <v>350</v>
      </c>
      <c r="AE25" s="35"/>
    </row>
    <row r="26" spans="1:31" ht="17.25" customHeight="1" thickBot="1" x14ac:dyDescent="0.3">
      <c r="A26" s="15" t="s">
        <v>81</v>
      </c>
      <c r="B26" s="8" t="s">
        <v>28</v>
      </c>
      <c r="C26" s="43" t="s">
        <v>40</v>
      </c>
      <c r="D26" s="51" t="s">
        <v>41</v>
      </c>
      <c r="E26" s="47" t="s">
        <v>41</v>
      </c>
      <c r="F26" s="51">
        <v>0</v>
      </c>
      <c r="G26" s="47">
        <v>0</v>
      </c>
      <c r="H26" s="51">
        <v>1</v>
      </c>
      <c r="I26" s="47">
        <v>12</v>
      </c>
      <c r="J26" s="51">
        <v>2</v>
      </c>
      <c r="K26" s="48">
        <v>12</v>
      </c>
      <c r="L26" s="52">
        <f t="shared" ref="L26:L33" si="11">P26/T26</f>
        <v>0</v>
      </c>
      <c r="M26" s="50">
        <f>Q26/T26</f>
        <v>0</v>
      </c>
      <c r="N26" s="50">
        <f>R26/T26</f>
        <v>1</v>
      </c>
      <c r="O26" s="50">
        <f>S26/T26</f>
        <v>2</v>
      </c>
      <c r="P26" s="50">
        <v>0</v>
      </c>
      <c r="Q26" s="50">
        <v>0</v>
      </c>
      <c r="R26" s="50">
        <f>H26</f>
        <v>1</v>
      </c>
      <c r="S26" s="50">
        <f>J26</f>
        <v>2</v>
      </c>
      <c r="T26" s="96">
        <v>1</v>
      </c>
      <c r="U26" s="296"/>
      <c r="V26" s="267">
        <v>1</v>
      </c>
      <c r="W26" s="23"/>
      <c r="X26" s="23"/>
      <c r="Y26" s="23"/>
      <c r="Z26" s="255">
        <v>30000</v>
      </c>
      <c r="AA26" s="256">
        <f t="shared" ref="AA26:AA33" si="12">L26*Z26/1</f>
        <v>0</v>
      </c>
      <c r="AB26" s="256">
        <f t="shared" si="10"/>
        <v>0</v>
      </c>
      <c r="AC26" s="256">
        <f t="shared" ref="AC26:AC33" si="13">N26*Z26/1</f>
        <v>30000</v>
      </c>
      <c r="AD26" s="256">
        <f t="shared" ref="AD26:AD33" si="14">O26*Z26/1</f>
        <v>60000</v>
      </c>
      <c r="AE26" s="35"/>
    </row>
    <row r="27" spans="1:31" ht="17.25" customHeight="1" thickBot="1" x14ac:dyDescent="0.3">
      <c r="A27" s="15" t="s">
        <v>82</v>
      </c>
      <c r="B27" s="8" t="s">
        <v>28</v>
      </c>
      <c r="C27" s="43" t="s">
        <v>40</v>
      </c>
      <c r="D27" s="51">
        <v>2</v>
      </c>
      <c r="E27" s="47">
        <v>12</v>
      </c>
      <c r="F27" s="51">
        <v>2</v>
      </c>
      <c r="G27" s="47">
        <v>12</v>
      </c>
      <c r="H27" s="51">
        <v>2</v>
      </c>
      <c r="I27" s="47">
        <v>12</v>
      </c>
      <c r="J27" s="51">
        <v>2</v>
      </c>
      <c r="K27" s="48">
        <v>12</v>
      </c>
      <c r="L27" s="52">
        <f t="shared" si="11"/>
        <v>2</v>
      </c>
      <c r="M27" s="50">
        <f t="shared" ref="M27:M33" si="15">Q27/T27</f>
        <v>2</v>
      </c>
      <c r="N27" s="50">
        <f t="shared" ref="N27:N33" si="16">R27/T27</f>
        <v>2</v>
      </c>
      <c r="O27" s="50">
        <f t="shared" ref="O27:O33" si="17">S27/T27</f>
        <v>2</v>
      </c>
      <c r="P27" s="50">
        <f t="shared" ref="P27:P33" si="18">D27</f>
        <v>2</v>
      </c>
      <c r="Q27" s="50">
        <f t="shared" ref="Q27:Q33" si="19">F27</f>
        <v>2</v>
      </c>
      <c r="R27" s="50">
        <f t="shared" ref="R27:R33" si="20">H27</f>
        <v>2</v>
      </c>
      <c r="S27" s="50">
        <f t="shared" ref="S27:S33" si="21">J27</f>
        <v>2</v>
      </c>
      <c r="T27" s="96">
        <v>1</v>
      </c>
      <c r="U27" s="296"/>
      <c r="V27" s="267">
        <v>1</v>
      </c>
      <c r="W27" s="23"/>
      <c r="X27" s="23"/>
      <c r="Y27" s="23"/>
      <c r="Z27" s="255">
        <v>3077</v>
      </c>
      <c r="AA27" s="256">
        <f t="shared" si="12"/>
        <v>6154</v>
      </c>
      <c r="AB27" s="256">
        <f t="shared" si="10"/>
        <v>6154</v>
      </c>
      <c r="AC27" s="256">
        <f t="shared" si="13"/>
        <v>6154</v>
      </c>
      <c r="AD27" s="256">
        <f>O27*Z27/1</f>
        <v>6154</v>
      </c>
      <c r="AE27" s="35"/>
    </row>
    <row r="28" spans="1:31" ht="17.25" customHeight="1" thickBot="1" x14ac:dyDescent="0.3">
      <c r="A28" s="15" t="s">
        <v>83</v>
      </c>
      <c r="B28" s="8" t="s">
        <v>42</v>
      </c>
      <c r="C28" s="43" t="s">
        <v>40</v>
      </c>
      <c r="D28" s="51">
        <v>1</v>
      </c>
      <c r="E28" s="47">
        <v>12</v>
      </c>
      <c r="F28" s="51">
        <v>1</v>
      </c>
      <c r="G28" s="47">
        <v>12</v>
      </c>
      <c r="H28" s="51">
        <v>2</v>
      </c>
      <c r="I28" s="47">
        <v>12</v>
      </c>
      <c r="J28" s="51">
        <v>2</v>
      </c>
      <c r="K28" s="48">
        <v>12</v>
      </c>
      <c r="L28" s="52">
        <f t="shared" si="11"/>
        <v>1</v>
      </c>
      <c r="M28" s="50">
        <f t="shared" si="15"/>
        <v>1</v>
      </c>
      <c r="N28" s="50">
        <f t="shared" si="16"/>
        <v>2</v>
      </c>
      <c r="O28" s="50">
        <f t="shared" si="17"/>
        <v>2</v>
      </c>
      <c r="P28" s="50">
        <f t="shared" si="18"/>
        <v>1</v>
      </c>
      <c r="Q28" s="50">
        <f t="shared" si="19"/>
        <v>1</v>
      </c>
      <c r="R28" s="50">
        <f t="shared" si="20"/>
        <v>2</v>
      </c>
      <c r="S28" s="50">
        <f t="shared" si="21"/>
        <v>2</v>
      </c>
      <c r="T28" s="96">
        <v>1</v>
      </c>
      <c r="U28" s="296"/>
      <c r="V28" s="267">
        <v>1</v>
      </c>
      <c r="W28" s="23"/>
      <c r="X28" s="23"/>
      <c r="Y28" s="23"/>
      <c r="Z28" s="255">
        <v>1500</v>
      </c>
      <c r="AA28" s="256">
        <f t="shared" si="12"/>
        <v>1500</v>
      </c>
      <c r="AB28" s="256">
        <f t="shared" si="10"/>
        <v>1500</v>
      </c>
      <c r="AC28" s="256">
        <f t="shared" si="13"/>
        <v>3000</v>
      </c>
      <c r="AD28" s="256">
        <f t="shared" si="14"/>
        <v>3000</v>
      </c>
      <c r="AE28" s="35"/>
    </row>
    <row r="29" spans="1:31" ht="17.25" customHeight="1" thickBot="1" x14ac:dyDescent="0.3">
      <c r="A29" s="15" t="s">
        <v>84</v>
      </c>
      <c r="B29" s="8" t="s">
        <v>42</v>
      </c>
      <c r="C29" s="43" t="s">
        <v>40</v>
      </c>
      <c r="D29" s="51">
        <v>2</v>
      </c>
      <c r="E29" s="47">
        <v>12</v>
      </c>
      <c r="F29" s="51">
        <v>2</v>
      </c>
      <c r="G29" s="47">
        <v>12</v>
      </c>
      <c r="H29" s="51">
        <v>2</v>
      </c>
      <c r="I29" s="47">
        <v>12</v>
      </c>
      <c r="J29" s="51">
        <v>2</v>
      </c>
      <c r="K29" s="48">
        <v>12</v>
      </c>
      <c r="L29" s="52">
        <f t="shared" si="11"/>
        <v>2</v>
      </c>
      <c r="M29" s="50">
        <f>Q29/T29</f>
        <v>2</v>
      </c>
      <c r="N29" s="50">
        <f t="shared" si="16"/>
        <v>2</v>
      </c>
      <c r="O29" s="50">
        <f t="shared" si="17"/>
        <v>2</v>
      </c>
      <c r="P29" s="50">
        <f t="shared" si="18"/>
        <v>2</v>
      </c>
      <c r="Q29" s="50">
        <f t="shared" si="19"/>
        <v>2</v>
      </c>
      <c r="R29" s="50">
        <f t="shared" si="20"/>
        <v>2</v>
      </c>
      <c r="S29" s="50">
        <f t="shared" si="21"/>
        <v>2</v>
      </c>
      <c r="T29" s="96">
        <v>1</v>
      </c>
      <c r="U29" s="296"/>
      <c r="V29" s="267">
        <v>1</v>
      </c>
      <c r="W29" s="23"/>
      <c r="X29" s="23"/>
      <c r="Y29" s="23"/>
      <c r="Z29" s="255">
        <v>1800</v>
      </c>
      <c r="AA29" s="256">
        <f t="shared" si="12"/>
        <v>3600</v>
      </c>
      <c r="AB29" s="256">
        <f t="shared" si="10"/>
        <v>3600</v>
      </c>
      <c r="AC29" s="256">
        <f t="shared" si="13"/>
        <v>3600</v>
      </c>
      <c r="AD29" s="256">
        <f t="shared" si="14"/>
        <v>3600</v>
      </c>
      <c r="AE29" s="35"/>
    </row>
    <row r="30" spans="1:31" ht="17.25" customHeight="1" thickBot="1" x14ac:dyDescent="0.3">
      <c r="A30" s="15" t="s">
        <v>85</v>
      </c>
      <c r="B30" s="8" t="s">
        <v>28</v>
      </c>
      <c r="C30" s="43" t="s">
        <v>40</v>
      </c>
      <c r="D30" s="51">
        <v>2</v>
      </c>
      <c r="E30" s="47">
        <v>12</v>
      </c>
      <c r="F30" s="51">
        <v>2</v>
      </c>
      <c r="G30" s="47">
        <v>12</v>
      </c>
      <c r="H30" s="51">
        <v>2</v>
      </c>
      <c r="I30" s="47">
        <v>12</v>
      </c>
      <c r="J30" s="51">
        <v>2</v>
      </c>
      <c r="K30" s="48">
        <v>12</v>
      </c>
      <c r="L30" s="52">
        <f t="shared" si="11"/>
        <v>2</v>
      </c>
      <c r="M30" s="50">
        <f t="shared" si="15"/>
        <v>2</v>
      </c>
      <c r="N30" s="50">
        <f t="shared" si="16"/>
        <v>2</v>
      </c>
      <c r="O30" s="50">
        <f t="shared" si="17"/>
        <v>2</v>
      </c>
      <c r="P30" s="50">
        <f t="shared" si="18"/>
        <v>2</v>
      </c>
      <c r="Q30" s="50">
        <f t="shared" si="19"/>
        <v>2</v>
      </c>
      <c r="R30" s="50">
        <f t="shared" si="20"/>
        <v>2</v>
      </c>
      <c r="S30" s="50">
        <f t="shared" si="21"/>
        <v>2</v>
      </c>
      <c r="T30" s="96">
        <v>1</v>
      </c>
      <c r="U30" s="296"/>
      <c r="V30" s="267">
        <v>1</v>
      </c>
      <c r="W30" s="23"/>
      <c r="X30" s="23"/>
      <c r="Y30" s="23"/>
      <c r="Z30" s="255">
        <v>2000</v>
      </c>
      <c r="AA30" s="256">
        <f t="shared" si="12"/>
        <v>4000</v>
      </c>
      <c r="AB30" s="256">
        <f t="shared" si="10"/>
        <v>4000</v>
      </c>
      <c r="AC30" s="256">
        <f t="shared" si="13"/>
        <v>4000</v>
      </c>
      <c r="AD30" s="256">
        <f t="shared" si="14"/>
        <v>4000</v>
      </c>
      <c r="AE30" s="35"/>
    </row>
    <row r="31" spans="1:31" ht="15.75" customHeight="1" thickBot="1" x14ac:dyDescent="0.3">
      <c r="A31" s="15" t="s">
        <v>46</v>
      </c>
      <c r="B31" s="8" t="s">
        <v>28</v>
      </c>
      <c r="C31" s="43" t="s">
        <v>40</v>
      </c>
      <c r="D31" s="51">
        <v>2</v>
      </c>
      <c r="E31" s="47">
        <v>12</v>
      </c>
      <c r="F31" s="51">
        <v>1</v>
      </c>
      <c r="G31" s="47">
        <v>12</v>
      </c>
      <c r="H31" s="51">
        <v>1</v>
      </c>
      <c r="I31" s="47">
        <v>12</v>
      </c>
      <c r="J31" s="51">
        <v>1</v>
      </c>
      <c r="K31" s="48">
        <v>12</v>
      </c>
      <c r="L31" s="52">
        <f>P31/T31</f>
        <v>2</v>
      </c>
      <c r="M31" s="50">
        <f t="shared" si="15"/>
        <v>1</v>
      </c>
      <c r="N31" s="50">
        <f t="shared" si="16"/>
        <v>1</v>
      </c>
      <c r="O31" s="50">
        <f t="shared" si="17"/>
        <v>1</v>
      </c>
      <c r="P31" s="50">
        <f t="shared" si="18"/>
        <v>2</v>
      </c>
      <c r="Q31" s="50">
        <f t="shared" si="19"/>
        <v>1</v>
      </c>
      <c r="R31" s="50">
        <f t="shared" si="20"/>
        <v>1</v>
      </c>
      <c r="S31" s="50">
        <f t="shared" si="21"/>
        <v>1</v>
      </c>
      <c r="T31" s="96">
        <v>1</v>
      </c>
      <c r="U31" s="296"/>
      <c r="V31" s="267">
        <v>1</v>
      </c>
      <c r="W31" s="23"/>
      <c r="X31" s="23"/>
      <c r="Y31" s="23"/>
      <c r="Z31" s="255">
        <v>1000</v>
      </c>
      <c r="AA31" s="256">
        <f t="shared" si="12"/>
        <v>2000</v>
      </c>
      <c r="AB31" s="256">
        <f t="shared" si="10"/>
        <v>1000</v>
      </c>
      <c r="AC31" s="256">
        <f t="shared" si="13"/>
        <v>1000</v>
      </c>
      <c r="AD31" s="256">
        <f t="shared" si="14"/>
        <v>1000</v>
      </c>
      <c r="AE31" s="35"/>
    </row>
    <row r="32" spans="1:31" ht="18" customHeight="1" thickBot="1" x14ac:dyDescent="0.3">
      <c r="A32" s="15" t="s">
        <v>86</v>
      </c>
      <c r="B32" s="8" t="s">
        <v>28</v>
      </c>
      <c r="C32" s="43" t="s">
        <v>40</v>
      </c>
      <c r="D32" s="51" t="s">
        <v>41</v>
      </c>
      <c r="E32" s="51" t="s">
        <v>41</v>
      </c>
      <c r="F32" s="51" t="s">
        <v>41</v>
      </c>
      <c r="G32" s="51" t="s">
        <v>41</v>
      </c>
      <c r="H32" s="51">
        <v>1</v>
      </c>
      <c r="I32" s="47">
        <v>12</v>
      </c>
      <c r="J32" s="51">
        <v>1</v>
      </c>
      <c r="K32" s="48">
        <v>12</v>
      </c>
      <c r="L32" s="52">
        <f t="shared" si="11"/>
        <v>0</v>
      </c>
      <c r="M32" s="50">
        <f t="shared" si="15"/>
        <v>0</v>
      </c>
      <c r="N32" s="93">
        <f t="shared" si="16"/>
        <v>1</v>
      </c>
      <c r="O32" s="93">
        <f t="shared" si="17"/>
        <v>1</v>
      </c>
      <c r="P32" s="93">
        <v>0</v>
      </c>
      <c r="Q32" s="93">
        <v>0</v>
      </c>
      <c r="R32" s="93">
        <f t="shared" si="20"/>
        <v>1</v>
      </c>
      <c r="S32" s="93">
        <f t="shared" si="21"/>
        <v>1</v>
      </c>
      <c r="T32" s="97">
        <v>1</v>
      </c>
      <c r="U32" s="296"/>
      <c r="V32" s="267">
        <v>1</v>
      </c>
      <c r="W32" s="23"/>
      <c r="X32" s="23"/>
      <c r="Y32" s="23"/>
      <c r="Z32" s="255">
        <v>1500</v>
      </c>
      <c r="AA32" s="256">
        <f t="shared" si="12"/>
        <v>0</v>
      </c>
      <c r="AB32" s="256">
        <f t="shared" si="10"/>
        <v>0</v>
      </c>
      <c r="AC32" s="256">
        <f t="shared" si="13"/>
        <v>1500</v>
      </c>
      <c r="AD32" s="256">
        <f t="shared" si="14"/>
        <v>1500</v>
      </c>
      <c r="AE32" s="35"/>
    </row>
    <row r="33" spans="1:31" ht="18" customHeight="1" thickBot="1" x14ac:dyDescent="0.3">
      <c r="A33" s="15" t="s">
        <v>87</v>
      </c>
      <c r="B33" s="8" t="s">
        <v>28</v>
      </c>
      <c r="C33" s="43" t="s">
        <v>40</v>
      </c>
      <c r="D33" s="51">
        <v>2</v>
      </c>
      <c r="E33" s="47">
        <v>12</v>
      </c>
      <c r="F33" s="51">
        <v>2</v>
      </c>
      <c r="G33" s="47">
        <v>12</v>
      </c>
      <c r="H33" s="51">
        <v>3</v>
      </c>
      <c r="I33" s="47">
        <v>12</v>
      </c>
      <c r="J33" s="51">
        <v>3</v>
      </c>
      <c r="K33" s="48">
        <v>12</v>
      </c>
      <c r="L33" s="94">
        <f t="shared" si="11"/>
        <v>2</v>
      </c>
      <c r="M33" s="88">
        <f t="shared" si="15"/>
        <v>2</v>
      </c>
      <c r="N33" s="88">
        <f t="shared" si="16"/>
        <v>3</v>
      </c>
      <c r="O33" s="88">
        <f t="shared" si="17"/>
        <v>3</v>
      </c>
      <c r="P33" s="88">
        <f t="shared" si="18"/>
        <v>2</v>
      </c>
      <c r="Q33" s="88">
        <f t="shared" si="19"/>
        <v>2</v>
      </c>
      <c r="R33" s="88">
        <f t="shared" si="20"/>
        <v>3</v>
      </c>
      <c r="S33" s="88">
        <f t="shared" si="21"/>
        <v>3</v>
      </c>
      <c r="T33" s="98">
        <v>1</v>
      </c>
      <c r="U33" s="297"/>
      <c r="V33" s="267">
        <v>1</v>
      </c>
      <c r="W33" s="23"/>
      <c r="X33" s="23"/>
      <c r="Y33" s="23"/>
      <c r="Z33" s="255">
        <v>900</v>
      </c>
      <c r="AA33" s="256">
        <f t="shared" si="12"/>
        <v>1800</v>
      </c>
      <c r="AB33" s="256">
        <f t="shared" si="10"/>
        <v>1800</v>
      </c>
      <c r="AC33" s="256">
        <f t="shared" si="13"/>
        <v>2700</v>
      </c>
      <c r="AD33" s="256">
        <f t="shared" si="14"/>
        <v>2700</v>
      </c>
      <c r="AE33" s="35"/>
    </row>
    <row r="34" spans="1:31" s="109" customFormat="1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 t="s">
        <v>146</v>
      </c>
      <c r="AA34" s="257">
        <f>AA25+AA26+AA27+AA28+AA29+AA30+AA31+AA32+AA33</f>
        <v>19054</v>
      </c>
      <c r="AB34" s="257">
        <f t="shared" ref="AB34:AD34" si="22">AB25+AB26+AB27+AB28+AB29+AB30+AB31+AB32+AB33</f>
        <v>18404</v>
      </c>
      <c r="AC34" s="257">
        <f t="shared" si="22"/>
        <v>52304</v>
      </c>
      <c r="AD34" s="257">
        <f t="shared" si="22"/>
        <v>82304</v>
      </c>
      <c r="AE34" s="108"/>
    </row>
    <row r="35" spans="1:31" ht="18" customHeight="1" x14ac:dyDescent="0.25">
      <c r="A35" s="112"/>
      <c r="B35" s="14"/>
      <c r="C35" s="113"/>
      <c r="D35" s="114"/>
      <c r="E35" s="115"/>
      <c r="F35" s="114"/>
      <c r="G35" s="115"/>
      <c r="H35" s="114"/>
      <c r="I35" s="115"/>
      <c r="J35" s="114"/>
      <c r="K35" s="115"/>
      <c r="L35" s="116"/>
      <c r="M35" s="117"/>
      <c r="N35" s="117"/>
      <c r="O35" s="117"/>
      <c r="P35" s="117"/>
      <c r="Q35" s="117"/>
      <c r="R35" s="117"/>
      <c r="S35" s="117"/>
      <c r="T35" s="117"/>
      <c r="U35" s="118"/>
      <c r="V35" s="119"/>
      <c r="W35" s="119"/>
      <c r="X35" s="119"/>
      <c r="Y35" s="119"/>
      <c r="Z35" s="120"/>
      <c r="AA35" s="120"/>
      <c r="AB35" s="120"/>
      <c r="AC35" s="120"/>
      <c r="AD35" s="120"/>
      <c r="AE35" s="119"/>
    </row>
  </sheetData>
  <mergeCells count="4">
    <mergeCell ref="A8:T8"/>
    <mergeCell ref="U25:U33"/>
    <mergeCell ref="M9:M20"/>
    <mergeCell ref="A22:M2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6"/>
  <sheetViews>
    <sheetView zoomScale="80" zoomScaleNormal="80" workbookViewId="0">
      <selection activeCell="G15" sqref="G15:G16"/>
    </sheetView>
  </sheetViews>
  <sheetFormatPr defaultRowHeight="15" x14ac:dyDescent="0.25"/>
  <cols>
    <col min="1" max="1" width="20.85546875" customWidth="1"/>
    <col min="2" max="2" width="11.5703125" bestFit="1" customWidth="1"/>
    <col min="3" max="3" width="14.5703125" customWidth="1"/>
    <col min="4" max="4" width="15.42578125" customWidth="1"/>
    <col min="5" max="5" width="36.85546875" customWidth="1"/>
    <col min="6" max="6" width="13.7109375" customWidth="1"/>
    <col min="7" max="7" width="13.5703125" customWidth="1"/>
    <col min="8" max="8" width="36.42578125" customWidth="1"/>
  </cols>
  <sheetData>
    <row r="1" spans="1:8" ht="44.25" customHeight="1" x14ac:dyDescent="0.3">
      <c r="A1" s="304" t="s">
        <v>59</v>
      </c>
      <c r="B1" s="304"/>
      <c r="C1" s="304"/>
      <c r="D1" s="304"/>
      <c r="E1" s="304"/>
      <c r="F1" s="304"/>
      <c r="G1" s="304"/>
      <c r="H1" s="304"/>
    </row>
    <row r="3" spans="1:8" ht="4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4</v>
      </c>
    </row>
    <row r="4" spans="1:8" x14ac:dyDescent="0.25">
      <c r="A4" s="1">
        <v>1</v>
      </c>
      <c r="B4" s="1" t="s">
        <v>7</v>
      </c>
      <c r="C4" s="1">
        <v>3</v>
      </c>
      <c r="D4" s="1">
        <v>4</v>
      </c>
      <c r="E4" s="1">
        <v>5</v>
      </c>
      <c r="F4" s="1">
        <v>6</v>
      </c>
      <c r="G4" s="1" t="s">
        <v>8</v>
      </c>
      <c r="H4" s="1">
        <v>8</v>
      </c>
    </row>
    <row r="5" spans="1:8" x14ac:dyDescent="0.25">
      <c r="A5" s="301" t="s">
        <v>9</v>
      </c>
      <c r="B5" s="302"/>
      <c r="C5" s="302"/>
      <c r="D5" s="302"/>
      <c r="E5" s="302"/>
      <c r="F5" s="302"/>
      <c r="G5" s="302"/>
      <c r="H5" s="303"/>
    </row>
    <row r="6" spans="1:8" ht="55.5" customHeight="1" x14ac:dyDescent="0.25">
      <c r="A6" s="2" t="s">
        <v>10</v>
      </c>
      <c r="B6" s="4">
        <v>7.0000000000000007E-2</v>
      </c>
      <c r="C6" s="1">
        <v>1</v>
      </c>
      <c r="D6" s="1">
        <v>15</v>
      </c>
      <c r="E6" s="3" t="s">
        <v>60</v>
      </c>
      <c r="F6" s="204">
        <v>515393.42</v>
      </c>
      <c r="G6" s="205">
        <f>B6*F6</f>
        <v>36077.539400000001</v>
      </c>
      <c r="H6" s="3" t="s">
        <v>141</v>
      </c>
    </row>
    <row r="7" spans="1:8" ht="70.5" customHeight="1" x14ac:dyDescent="0.25">
      <c r="A7" s="2" t="s">
        <v>11</v>
      </c>
      <c r="B7" s="4">
        <v>0.01</v>
      </c>
      <c r="C7" s="1">
        <v>1</v>
      </c>
      <c r="D7" s="1">
        <f>6*15</f>
        <v>90</v>
      </c>
      <c r="E7" s="3" t="s">
        <v>259</v>
      </c>
      <c r="F7" s="204">
        <v>538625.53</v>
      </c>
      <c r="G7" s="205">
        <f>B7*F7</f>
        <v>5386.2553000000007</v>
      </c>
      <c r="H7" s="3" t="s">
        <v>142</v>
      </c>
    </row>
    <row r="8" spans="1:8" x14ac:dyDescent="0.25">
      <c r="A8" s="301" t="s">
        <v>12</v>
      </c>
      <c r="B8" s="302"/>
      <c r="C8" s="302"/>
      <c r="D8" s="302"/>
      <c r="E8" s="302"/>
      <c r="F8" s="302"/>
      <c r="G8" s="302"/>
      <c r="H8" s="303"/>
    </row>
    <row r="9" spans="1:8" ht="59.25" customHeight="1" x14ac:dyDescent="0.25">
      <c r="A9" s="2" t="s">
        <v>10</v>
      </c>
      <c r="B9" s="4">
        <v>0.09</v>
      </c>
      <c r="C9" s="1">
        <v>1</v>
      </c>
      <c r="D9" s="1">
        <v>11</v>
      </c>
      <c r="E9" s="3" t="s">
        <v>61</v>
      </c>
      <c r="F9" s="204">
        <v>515393.42</v>
      </c>
      <c r="G9" s="205">
        <f>B9*F9</f>
        <v>46385.407799999994</v>
      </c>
      <c r="H9" s="58" t="s">
        <v>141</v>
      </c>
    </row>
    <row r="10" spans="1:8" ht="54.75" customHeight="1" x14ac:dyDescent="0.25">
      <c r="A10" s="2" t="s">
        <v>11</v>
      </c>
      <c r="B10" s="4">
        <v>0.02</v>
      </c>
      <c r="C10" s="1">
        <v>1</v>
      </c>
      <c r="D10" s="1">
        <f>6*11</f>
        <v>66</v>
      </c>
      <c r="E10" s="3" t="s">
        <v>259</v>
      </c>
      <c r="F10" s="204">
        <v>538625.53</v>
      </c>
      <c r="G10" s="205">
        <f>B10*F10</f>
        <v>10772.510600000001</v>
      </c>
      <c r="H10" s="58" t="s">
        <v>142</v>
      </c>
    </row>
    <row r="11" spans="1:8" x14ac:dyDescent="0.25">
      <c r="A11" s="301" t="s">
        <v>13</v>
      </c>
      <c r="B11" s="302"/>
      <c r="C11" s="302"/>
      <c r="D11" s="302"/>
      <c r="E11" s="302"/>
      <c r="F11" s="302"/>
      <c r="G11" s="302"/>
      <c r="H11" s="303"/>
    </row>
    <row r="12" spans="1:8" ht="53.25" customHeight="1" x14ac:dyDescent="0.25">
      <c r="A12" s="2" t="s">
        <v>10</v>
      </c>
      <c r="B12" s="4">
        <v>0.14000000000000001</v>
      </c>
      <c r="C12" s="1">
        <v>1</v>
      </c>
      <c r="D12" s="1">
        <v>7</v>
      </c>
      <c r="E12" s="3" t="s">
        <v>62</v>
      </c>
      <c r="F12" s="204">
        <v>515393.42</v>
      </c>
      <c r="G12" s="205">
        <f>B12*F12</f>
        <v>72155.078800000003</v>
      </c>
      <c r="H12" s="58" t="s">
        <v>141</v>
      </c>
    </row>
    <row r="13" spans="1:8" ht="54.75" customHeight="1" x14ac:dyDescent="0.25">
      <c r="A13" s="2" t="s">
        <v>11</v>
      </c>
      <c r="B13" s="4">
        <v>0.02</v>
      </c>
      <c r="C13" s="1">
        <v>1</v>
      </c>
      <c r="D13" s="1">
        <f>6*7</f>
        <v>42</v>
      </c>
      <c r="E13" s="3" t="s">
        <v>259</v>
      </c>
      <c r="F13" s="204">
        <v>538625.53</v>
      </c>
      <c r="G13" s="205">
        <f>B13*F13</f>
        <v>10772.510600000001</v>
      </c>
      <c r="H13" s="58" t="s">
        <v>142</v>
      </c>
    </row>
    <row r="14" spans="1:8" x14ac:dyDescent="0.25">
      <c r="A14" s="301" t="s">
        <v>145</v>
      </c>
      <c r="B14" s="302"/>
      <c r="C14" s="302"/>
      <c r="D14" s="302"/>
      <c r="E14" s="302"/>
      <c r="F14" s="302"/>
      <c r="G14" s="302"/>
      <c r="H14" s="303"/>
    </row>
    <row r="15" spans="1:8" ht="51.75" customHeight="1" x14ac:dyDescent="0.25">
      <c r="A15" s="2" t="s">
        <v>10</v>
      </c>
      <c r="B15" s="4">
        <f>C15/D15</f>
        <v>0.25</v>
      </c>
      <c r="C15" s="1">
        <v>1</v>
      </c>
      <c r="D15" s="1">
        <v>4</v>
      </c>
      <c r="E15" s="3" t="s">
        <v>63</v>
      </c>
      <c r="F15" s="204">
        <v>515393.42</v>
      </c>
      <c r="G15" s="205">
        <f>B15*F15</f>
        <v>128848.355</v>
      </c>
      <c r="H15" s="58" t="s">
        <v>141</v>
      </c>
    </row>
    <row r="16" spans="1:8" ht="54.75" customHeight="1" x14ac:dyDescent="0.25">
      <c r="A16" s="2" t="s">
        <v>11</v>
      </c>
      <c r="B16" s="4">
        <v>0.04</v>
      </c>
      <c r="C16" s="1">
        <v>1</v>
      </c>
      <c r="D16" s="1">
        <f>4*6</f>
        <v>24</v>
      </c>
      <c r="E16" s="3" t="s">
        <v>259</v>
      </c>
      <c r="F16" s="204">
        <v>538625.53</v>
      </c>
      <c r="G16" s="205">
        <f>B16*F16</f>
        <v>21545.021200000003</v>
      </c>
      <c r="H16" s="58" t="s">
        <v>142</v>
      </c>
    </row>
  </sheetData>
  <mergeCells count="5">
    <mergeCell ref="A5:H5"/>
    <mergeCell ref="A8:H8"/>
    <mergeCell ref="A11:H11"/>
    <mergeCell ref="A14:H14"/>
    <mergeCell ref="A1:H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H17"/>
  <sheetViews>
    <sheetView zoomScale="80" zoomScaleNormal="80" workbookViewId="0">
      <selection activeCell="H21" sqref="H21"/>
    </sheetView>
  </sheetViews>
  <sheetFormatPr defaultRowHeight="15" x14ac:dyDescent="0.25"/>
  <cols>
    <col min="1" max="1" width="20.85546875" customWidth="1"/>
    <col min="2" max="2" width="11.5703125" bestFit="1" customWidth="1"/>
    <col min="3" max="3" width="13.85546875" customWidth="1"/>
    <col min="4" max="4" width="13.28515625" customWidth="1"/>
    <col min="5" max="5" width="36.85546875" customWidth="1"/>
    <col min="6" max="6" width="13.7109375" customWidth="1"/>
    <col min="7" max="7" width="13.5703125" customWidth="1"/>
    <col min="8" max="8" width="36.42578125" customWidth="1"/>
  </cols>
  <sheetData>
    <row r="2" spans="1:8" ht="42" customHeight="1" x14ac:dyDescent="0.3">
      <c r="A2" s="304" t="s">
        <v>64</v>
      </c>
      <c r="B2" s="304"/>
      <c r="C2" s="304"/>
      <c r="D2" s="304"/>
      <c r="E2" s="304"/>
      <c r="F2" s="304"/>
      <c r="G2" s="304"/>
      <c r="H2" s="304"/>
    </row>
    <row r="4" spans="1:8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4</v>
      </c>
    </row>
    <row r="5" spans="1:8" x14ac:dyDescent="0.25">
      <c r="A5" s="1">
        <v>1</v>
      </c>
      <c r="B5" s="1" t="s">
        <v>7</v>
      </c>
      <c r="C5" s="1">
        <v>3</v>
      </c>
      <c r="D5" s="1">
        <v>4</v>
      </c>
      <c r="E5" s="1">
        <v>5</v>
      </c>
      <c r="F5" s="1">
        <v>6</v>
      </c>
      <c r="G5" s="1" t="s">
        <v>8</v>
      </c>
      <c r="H5" s="1">
        <v>8</v>
      </c>
    </row>
    <row r="6" spans="1:8" ht="15" customHeight="1" x14ac:dyDescent="0.25">
      <c r="A6" s="301" t="s">
        <v>9</v>
      </c>
      <c r="B6" s="302"/>
      <c r="C6" s="302"/>
      <c r="D6" s="302"/>
      <c r="E6" s="302"/>
      <c r="F6" s="302"/>
      <c r="G6" s="302"/>
      <c r="H6" s="303"/>
    </row>
    <row r="7" spans="1:8" ht="54" customHeight="1" x14ac:dyDescent="0.25">
      <c r="A7" s="2" t="s">
        <v>10</v>
      </c>
      <c r="B7" s="4">
        <v>0.06</v>
      </c>
      <c r="C7" s="1">
        <v>1</v>
      </c>
      <c r="D7" s="1">
        <v>18</v>
      </c>
      <c r="E7" s="3" t="s">
        <v>65</v>
      </c>
      <c r="F7" s="204">
        <v>543192.57999999996</v>
      </c>
      <c r="G7" s="205">
        <f>B7*F7</f>
        <v>32591.554799999998</v>
      </c>
      <c r="H7" s="58" t="s">
        <v>143</v>
      </c>
    </row>
    <row r="8" spans="1:8" ht="51" x14ac:dyDescent="0.25">
      <c r="A8" s="2" t="s">
        <v>11</v>
      </c>
      <c r="B8" s="4">
        <v>0.01</v>
      </c>
      <c r="C8" s="1">
        <v>1</v>
      </c>
      <c r="D8" s="1">
        <f>6*18</f>
        <v>108</v>
      </c>
      <c r="E8" s="3" t="s">
        <v>259</v>
      </c>
      <c r="F8" s="204">
        <v>467357.59</v>
      </c>
      <c r="G8" s="205">
        <f>B8*F8</f>
        <v>4673.5759000000007</v>
      </c>
      <c r="H8" s="3" t="s">
        <v>144</v>
      </c>
    </row>
    <row r="9" spans="1:8" ht="15" customHeight="1" x14ac:dyDescent="0.25">
      <c r="A9" s="301" t="s">
        <v>12</v>
      </c>
      <c r="B9" s="302"/>
      <c r="C9" s="302"/>
      <c r="D9" s="302"/>
      <c r="E9" s="302"/>
      <c r="F9" s="302"/>
      <c r="G9" s="302"/>
      <c r="H9" s="303"/>
    </row>
    <row r="10" spans="1:8" ht="51" x14ac:dyDescent="0.25">
      <c r="A10" s="2" t="s">
        <v>10</v>
      </c>
      <c r="B10" s="4">
        <v>0.08</v>
      </c>
      <c r="C10" s="1">
        <v>1</v>
      </c>
      <c r="D10" s="1">
        <v>12</v>
      </c>
      <c r="E10" s="3" t="s">
        <v>66</v>
      </c>
      <c r="F10" s="204">
        <v>543192.57999999996</v>
      </c>
      <c r="G10" s="205">
        <f>B10*F10</f>
        <v>43455.4064</v>
      </c>
      <c r="H10" s="3" t="s">
        <v>143</v>
      </c>
    </row>
    <row r="11" spans="1:8" ht="51" x14ac:dyDescent="0.25">
      <c r="A11" s="2" t="s">
        <v>11</v>
      </c>
      <c r="B11" s="4">
        <v>0.01</v>
      </c>
      <c r="C11" s="1">
        <v>1</v>
      </c>
      <c r="D11" s="1">
        <f>6*12</f>
        <v>72</v>
      </c>
      <c r="E11" s="3" t="s">
        <v>259</v>
      </c>
      <c r="F11" s="204">
        <v>467357.59</v>
      </c>
      <c r="G11" s="205">
        <f>B11*F11</f>
        <v>4673.5759000000007</v>
      </c>
      <c r="H11" s="58" t="s">
        <v>144</v>
      </c>
    </row>
    <row r="12" spans="1:8" x14ac:dyDescent="0.25">
      <c r="A12" s="301" t="s">
        <v>13</v>
      </c>
      <c r="B12" s="302"/>
      <c r="C12" s="302"/>
      <c r="D12" s="302"/>
      <c r="E12" s="302"/>
      <c r="F12" s="302"/>
      <c r="G12" s="302"/>
      <c r="H12" s="303"/>
    </row>
    <row r="13" spans="1:8" ht="51" x14ac:dyDescent="0.25">
      <c r="A13" s="2" t="s">
        <v>10</v>
      </c>
      <c r="B13" s="4">
        <v>0.2</v>
      </c>
      <c r="C13" s="1">
        <v>1</v>
      </c>
      <c r="D13" s="1">
        <v>5</v>
      </c>
      <c r="E13" s="3" t="s">
        <v>67</v>
      </c>
      <c r="F13" s="204">
        <v>543192.57999999996</v>
      </c>
      <c r="G13" s="205">
        <f>B13*F13</f>
        <v>108638.516</v>
      </c>
      <c r="H13" s="58" t="s">
        <v>143</v>
      </c>
    </row>
    <row r="14" spans="1:8" ht="51" x14ac:dyDescent="0.25">
      <c r="A14" s="2" t="s">
        <v>11</v>
      </c>
      <c r="B14" s="4">
        <v>0.03</v>
      </c>
      <c r="C14" s="1">
        <v>1</v>
      </c>
      <c r="D14" s="1">
        <f>6*5</f>
        <v>30</v>
      </c>
      <c r="E14" s="3" t="s">
        <v>259</v>
      </c>
      <c r="F14" s="204">
        <v>467357.59</v>
      </c>
      <c r="G14" s="205">
        <f>B14*F14</f>
        <v>14020.727699999999</v>
      </c>
      <c r="H14" s="58" t="s">
        <v>144</v>
      </c>
    </row>
    <row r="15" spans="1:8" x14ac:dyDescent="0.25">
      <c r="A15" s="301" t="s">
        <v>145</v>
      </c>
      <c r="B15" s="302"/>
      <c r="C15" s="302"/>
      <c r="D15" s="302"/>
      <c r="E15" s="302"/>
      <c r="F15" s="302"/>
      <c r="G15" s="302"/>
      <c r="H15" s="303"/>
    </row>
    <row r="16" spans="1:8" ht="51" x14ac:dyDescent="0.25">
      <c r="A16" s="2" t="s">
        <v>10</v>
      </c>
      <c r="B16" s="4">
        <f>C16/D16</f>
        <v>0.33333333333333331</v>
      </c>
      <c r="C16" s="1">
        <v>1</v>
      </c>
      <c r="D16" s="1">
        <v>3</v>
      </c>
      <c r="E16" s="3" t="s">
        <v>68</v>
      </c>
      <c r="F16" s="204">
        <v>543192.57999999996</v>
      </c>
      <c r="G16" s="205">
        <f>B16*F16</f>
        <v>181064.1933333333</v>
      </c>
      <c r="H16" s="58" t="s">
        <v>143</v>
      </c>
    </row>
    <row r="17" spans="1:8" ht="51" x14ac:dyDescent="0.25">
      <c r="A17" s="2" t="s">
        <v>11</v>
      </c>
      <c r="B17" s="4">
        <v>0.06</v>
      </c>
      <c r="C17" s="1">
        <v>1</v>
      </c>
      <c r="D17" s="1">
        <f>6*3</f>
        <v>18</v>
      </c>
      <c r="E17" s="3" t="s">
        <v>259</v>
      </c>
      <c r="F17" s="204">
        <v>467357.59</v>
      </c>
      <c r="G17" s="205">
        <f>B17*F17</f>
        <v>28041.455399999999</v>
      </c>
      <c r="H17" s="58" t="s">
        <v>144</v>
      </c>
    </row>
  </sheetData>
  <mergeCells count="5">
    <mergeCell ref="A6:H6"/>
    <mergeCell ref="A9:H9"/>
    <mergeCell ref="A12:H12"/>
    <mergeCell ref="A15:H15"/>
    <mergeCell ref="A2:H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AB63"/>
  <sheetViews>
    <sheetView topLeftCell="A16" zoomScale="70" zoomScaleNormal="70" workbookViewId="0">
      <selection activeCell="W62" sqref="W62"/>
    </sheetView>
  </sheetViews>
  <sheetFormatPr defaultRowHeight="15" x14ac:dyDescent="0.25"/>
  <cols>
    <col min="1" max="1" width="32" customWidth="1"/>
    <col min="2" max="2" width="12.140625" customWidth="1"/>
    <col min="3" max="3" width="17.85546875" customWidth="1"/>
    <col min="4" max="4" width="11.7109375" customWidth="1"/>
    <col min="5" max="5" width="11.85546875" customWidth="1"/>
    <col min="6" max="6" width="11.28515625" customWidth="1"/>
    <col min="7" max="7" width="12.5703125" customWidth="1"/>
    <col min="8" max="8" width="11.85546875" customWidth="1"/>
    <col min="9" max="9" width="13.140625" customWidth="1"/>
    <col min="10" max="10" width="13.28515625" customWidth="1"/>
    <col min="11" max="11" width="13.5703125" customWidth="1"/>
    <col min="12" max="12" width="14.28515625" customWidth="1"/>
    <col min="13" max="13" width="12.140625" customWidth="1"/>
    <col min="14" max="14" width="9.140625" customWidth="1"/>
    <col min="15" max="15" width="11.140625" customWidth="1"/>
    <col min="16" max="16" width="12.5703125" customWidth="1"/>
    <col min="17" max="17" width="12" customWidth="1"/>
    <col min="18" max="18" width="11.5703125" customWidth="1"/>
    <col min="19" max="19" width="12" customWidth="1"/>
    <col min="20" max="20" width="14.140625" customWidth="1"/>
    <col min="21" max="21" width="14.42578125" customWidth="1"/>
    <col min="22" max="22" width="11.28515625" customWidth="1"/>
    <col min="23" max="23" width="11.5703125" customWidth="1"/>
    <col min="24" max="24" width="9.140625" customWidth="1"/>
    <col min="25" max="25" width="10.42578125" customWidth="1"/>
    <col min="26" max="26" width="11" customWidth="1"/>
    <col min="27" max="27" width="11.140625" customWidth="1"/>
    <col min="28" max="28" width="12.28515625" customWidth="1"/>
  </cols>
  <sheetData>
    <row r="2" spans="1:28" x14ac:dyDescent="0.25">
      <c r="U2" t="s">
        <v>131</v>
      </c>
    </row>
    <row r="3" spans="1:28" ht="33" customHeight="1" x14ac:dyDescent="0.25">
      <c r="A3" s="45" t="s">
        <v>248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/>
    </row>
    <row r="4" spans="1:28" ht="15.75" thickBot="1" x14ac:dyDescent="0.3">
      <c r="U4" s="101"/>
      <c r="V4" s="101"/>
      <c r="W4" s="101"/>
      <c r="X4" s="101"/>
      <c r="Y4" s="101"/>
      <c r="Z4" s="101"/>
      <c r="AA4" s="101"/>
      <c r="AB4" s="8"/>
    </row>
    <row r="5" spans="1:28" ht="78" customHeight="1" thickBot="1" x14ac:dyDescent="0.3">
      <c r="A5" s="87" t="s">
        <v>14</v>
      </c>
      <c r="B5" s="38" t="s">
        <v>15</v>
      </c>
      <c r="C5" s="39" t="s">
        <v>16</v>
      </c>
      <c r="D5" s="40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4</v>
      </c>
      <c r="N5" s="41" t="s">
        <v>49</v>
      </c>
      <c r="O5" s="42" t="s">
        <v>50</v>
      </c>
      <c r="P5" s="42" t="s">
        <v>51</v>
      </c>
      <c r="Q5" s="42" t="s">
        <v>52</v>
      </c>
      <c r="R5" s="42" t="s">
        <v>53</v>
      </c>
      <c r="S5" s="42" t="s">
        <v>54</v>
      </c>
      <c r="T5" s="42" t="s">
        <v>4</v>
      </c>
    </row>
    <row r="6" spans="1:28" ht="15.75" thickBot="1" x14ac:dyDescent="0.3">
      <c r="A6" s="59"/>
      <c r="B6" s="61"/>
      <c r="C6" s="61"/>
      <c r="D6" s="26"/>
      <c r="E6" s="27"/>
      <c r="F6" s="27"/>
      <c r="G6" s="27"/>
      <c r="H6" s="28"/>
      <c r="I6" s="27"/>
      <c r="J6" s="27"/>
      <c r="K6" s="27"/>
      <c r="L6" s="27"/>
      <c r="M6" s="62"/>
      <c r="N6" s="63">
        <v>6</v>
      </c>
      <c r="O6" s="31">
        <v>7</v>
      </c>
      <c r="P6" s="31" t="s">
        <v>55</v>
      </c>
      <c r="Q6" s="31" t="s">
        <v>56</v>
      </c>
      <c r="R6" s="31" t="s">
        <v>57</v>
      </c>
      <c r="S6" s="32" t="s">
        <v>58</v>
      </c>
      <c r="T6" s="32">
        <v>12</v>
      </c>
    </row>
    <row r="7" spans="1:28" x14ac:dyDescent="0.25">
      <c r="A7" s="60">
        <v>1</v>
      </c>
      <c r="B7" s="60">
        <v>2</v>
      </c>
      <c r="C7" s="60">
        <v>3</v>
      </c>
      <c r="D7" s="65" t="s">
        <v>127</v>
      </c>
      <c r="E7" s="65" t="s">
        <v>128</v>
      </c>
      <c r="F7" s="65" t="s">
        <v>129</v>
      </c>
      <c r="G7" s="65" t="s">
        <v>130</v>
      </c>
      <c r="H7" s="66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</row>
    <row r="8" spans="1:28" ht="15.75" customHeight="1" thickBot="1" x14ac:dyDescent="0.3">
      <c r="A8" s="310" t="s">
        <v>88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1:28" ht="15.75" customHeight="1" thickBot="1" x14ac:dyDescent="0.3">
      <c r="A9" s="34" t="s">
        <v>89</v>
      </c>
      <c r="B9" s="8" t="s">
        <v>28</v>
      </c>
      <c r="C9" s="9">
        <v>1</v>
      </c>
      <c r="D9" s="10">
        <f>H9/I9</f>
        <v>5.5555555555555552E-2</v>
      </c>
      <c r="E9" s="11">
        <f>H9/J9</f>
        <v>8.3333333333333329E-2</v>
      </c>
      <c r="F9" s="11">
        <f>H9/K9</f>
        <v>0.2</v>
      </c>
      <c r="G9" s="11">
        <f>H9/L9</f>
        <v>0.33333333333333331</v>
      </c>
      <c r="H9" s="12">
        <v>1</v>
      </c>
      <c r="I9" s="12">
        <v>18</v>
      </c>
      <c r="J9" s="12">
        <v>12</v>
      </c>
      <c r="K9" s="12">
        <v>5</v>
      </c>
      <c r="L9" s="80">
        <v>3</v>
      </c>
      <c r="M9" s="308" t="s">
        <v>27</v>
      </c>
      <c r="N9" s="83">
        <v>3</v>
      </c>
      <c r="O9" s="67">
        <v>300000</v>
      </c>
      <c r="P9" s="54">
        <f>D9*O9/N9</f>
        <v>5555.5555555555547</v>
      </c>
      <c r="Q9" s="54">
        <f>E9*O9/N9</f>
        <v>8333.3333333333339</v>
      </c>
      <c r="R9" s="54">
        <f>F9*O9/N9</f>
        <v>20000</v>
      </c>
      <c r="S9" s="54">
        <f>G9*O9/N9</f>
        <v>33333.333333333336</v>
      </c>
      <c r="T9" s="35"/>
    </row>
    <row r="10" spans="1:28" ht="17.25" customHeight="1" thickBot="1" x14ac:dyDescent="0.3">
      <c r="A10" s="15" t="s">
        <v>90</v>
      </c>
      <c r="B10" s="8" t="s">
        <v>91</v>
      </c>
      <c r="C10" s="9">
        <v>18</v>
      </c>
      <c r="D10" s="10">
        <f t="shared" ref="D10:D14" si="0">H10/I10</f>
        <v>1</v>
      </c>
      <c r="E10" s="11">
        <f t="shared" ref="E10:E14" si="1">H10/J10</f>
        <v>1.5</v>
      </c>
      <c r="F10" s="11">
        <f t="shared" ref="F10:F14" si="2">H10/K10</f>
        <v>3.6</v>
      </c>
      <c r="G10" s="11">
        <f>H10/L10</f>
        <v>6</v>
      </c>
      <c r="H10" s="12">
        <v>18</v>
      </c>
      <c r="I10" s="12">
        <v>18</v>
      </c>
      <c r="J10" s="12">
        <v>12</v>
      </c>
      <c r="K10" s="12">
        <v>5</v>
      </c>
      <c r="L10" s="80">
        <v>3</v>
      </c>
      <c r="M10" s="299"/>
      <c r="N10" s="84">
        <v>2</v>
      </c>
      <c r="O10" s="69">
        <v>2600</v>
      </c>
      <c r="P10" s="54">
        <f t="shared" ref="P10:P14" si="3">D10*O10/N10</f>
        <v>1300</v>
      </c>
      <c r="Q10" s="54">
        <f t="shared" ref="Q10:Q14" si="4">E10*O10/N10</f>
        <v>1950</v>
      </c>
      <c r="R10" s="54">
        <f t="shared" ref="R10:R14" si="5">F10*O10/N10</f>
        <v>4680</v>
      </c>
      <c r="S10" s="54">
        <f t="shared" ref="S10:S14" si="6">G10*O10/N10</f>
        <v>7800</v>
      </c>
      <c r="T10" s="36"/>
    </row>
    <row r="11" spans="1:28" ht="30.75" thickBot="1" x14ac:dyDescent="0.3">
      <c r="A11" s="15" t="s">
        <v>92</v>
      </c>
      <c r="B11" s="8" t="s">
        <v>28</v>
      </c>
      <c r="C11" s="9">
        <v>18</v>
      </c>
      <c r="D11" s="10">
        <f t="shared" si="0"/>
        <v>1</v>
      </c>
      <c r="E11" s="11">
        <f t="shared" si="1"/>
        <v>1.5</v>
      </c>
      <c r="F11" s="11">
        <f t="shared" si="2"/>
        <v>3.6</v>
      </c>
      <c r="G11" s="11">
        <f t="shared" ref="G11" si="7">H11/L11</f>
        <v>6</v>
      </c>
      <c r="H11" s="12">
        <v>18</v>
      </c>
      <c r="I11" s="12">
        <v>18</v>
      </c>
      <c r="J11" s="12">
        <v>12</v>
      </c>
      <c r="K11" s="12">
        <v>5</v>
      </c>
      <c r="L11" s="80">
        <v>3</v>
      </c>
      <c r="M11" s="299"/>
      <c r="N11" s="84">
        <v>1</v>
      </c>
      <c r="O11" s="69">
        <v>3000</v>
      </c>
      <c r="P11" s="54">
        <f t="shared" si="3"/>
        <v>3000</v>
      </c>
      <c r="Q11" s="54">
        <f t="shared" si="4"/>
        <v>4500</v>
      </c>
      <c r="R11" s="54">
        <f t="shared" si="5"/>
        <v>10800</v>
      </c>
      <c r="S11" s="54">
        <f t="shared" si="6"/>
        <v>18000</v>
      </c>
      <c r="T11" s="36"/>
    </row>
    <row r="12" spans="1:28" ht="33" customHeight="1" thickBot="1" x14ac:dyDescent="0.3">
      <c r="A12" s="15" t="s">
        <v>93</v>
      </c>
      <c r="B12" s="8" t="s">
        <v>28</v>
      </c>
      <c r="C12" s="9">
        <v>18</v>
      </c>
      <c r="D12" s="10">
        <f>H12/I12</f>
        <v>1</v>
      </c>
      <c r="E12" s="11">
        <f t="shared" si="1"/>
        <v>1.5</v>
      </c>
      <c r="F12" s="11">
        <f t="shared" si="2"/>
        <v>3.6</v>
      </c>
      <c r="G12" s="11">
        <f>H12/L12</f>
        <v>6</v>
      </c>
      <c r="H12" s="12">
        <v>18</v>
      </c>
      <c r="I12" s="12">
        <v>18</v>
      </c>
      <c r="J12" s="12">
        <v>12</v>
      </c>
      <c r="K12" s="12">
        <v>5</v>
      </c>
      <c r="L12" s="80">
        <v>3</v>
      </c>
      <c r="M12" s="299"/>
      <c r="N12" s="84">
        <v>1</v>
      </c>
      <c r="O12" s="69">
        <v>2500</v>
      </c>
      <c r="P12" s="54">
        <f>D12*O12/N12</f>
        <v>2500</v>
      </c>
      <c r="Q12" s="54">
        <f t="shared" si="4"/>
        <v>3750</v>
      </c>
      <c r="R12" s="54">
        <f t="shared" si="5"/>
        <v>9000</v>
      </c>
      <c r="S12" s="54">
        <f t="shared" si="6"/>
        <v>15000</v>
      </c>
      <c r="T12" s="36"/>
    </row>
    <row r="13" spans="1:28" ht="15.75" thickBot="1" x14ac:dyDescent="0.3">
      <c r="A13" s="15" t="s">
        <v>94</v>
      </c>
      <c r="B13" s="8" t="s">
        <v>28</v>
      </c>
      <c r="C13" s="9">
        <v>18</v>
      </c>
      <c r="D13" s="10">
        <f t="shared" si="0"/>
        <v>1</v>
      </c>
      <c r="E13" s="11">
        <f t="shared" si="1"/>
        <v>1.5</v>
      </c>
      <c r="F13" s="11">
        <f t="shared" si="2"/>
        <v>3.6</v>
      </c>
      <c r="G13" s="11">
        <f>H13/L13</f>
        <v>6</v>
      </c>
      <c r="H13" s="12">
        <v>18</v>
      </c>
      <c r="I13" s="12">
        <v>18</v>
      </c>
      <c r="J13" s="12">
        <v>12</v>
      </c>
      <c r="K13" s="12">
        <v>5</v>
      </c>
      <c r="L13" s="80">
        <v>3</v>
      </c>
      <c r="M13" s="299"/>
      <c r="N13" s="84">
        <v>1</v>
      </c>
      <c r="O13" s="69">
        <v>900</v>
      </c>
      <c r="P13" s="54">
        <f t="shared" si="3"/>
        <v>900</v>
      </c>
      <c r="Q13" s="54">
        <f t="shared" si="4"/>
        <v>1350</v>
      </c>
      <c r="R13" s="54">
        <f t="shared" si="5"/>
        <v>3240</v>
      </c>
      <c r="S13" s="54">
        <f t="shared" si="6"/>
        <v>5400</v>
      </c>
      <c r="T13" s="36"/>
    </row>
    <row r="14" spans="1:28" ht="23.25" customHeight="1" x14ac:dyDescent="0.25">
      <c r="A14" s="25" t="s">
        <v>95</v>
      </c>
      <c r="B14" s="13" t="s">
        <v>28</v>
      </c>
      <c r="C14" s="14">
        <v>18</v>
      </c>
      <c r="D14" s="102">
        <f t="shared" si="0"/>
        <v>1</v>
      </c>
      <c r="E14" s="103">
        <f t="shared" si="1"/>
        <v>1.5</v>
      </c>
      <c r="F14" s="103">
        <f t="shared" si="2"/>
        <v>3.6</v>
      </c>
      <c r="G14" s="103">
        <f>H14/L14</f>
        <v>6</v>
      </c>
      <c r="H14" s="104">
        <v>18</v>
      </c>
      <c r="I14" s="104">
        <v>18</v>
      </c>
      <c r="J14" s="104">
        <v>12</v>
      </c>
      <c r="K14" s="104">
        <v>5</v>
      </c>
      <c r="L14" s="122">
        <v>3</v>
      </c>
      <c r="M14" s="299"/>
      <c r="N14" s="123">
        <v>1</v>
      </c>
      <c r="O14" s="124">
        <v>600</v>
      </c>
      <c r="P14" s="125">
        <f t="shared" si="3"/>
        <v>600</v>
      </c>
      <c r="Q14" s="125">
        <f t="shared" si="4"/>
        <v>900</v>
      </c>
      <c r="R14" s="125">
        <f t="shared" si="5"/>
        <v>2160</v>
      </c>
      <c r="S14" s="125">
        <f t="shared" si="6"/>
        <v>3600</v>
      </c>
      <c r="T14" s="37"/>
    </row>
    <row r="15" spans="1:28" s="109" customFormat="1" ht="23.25" customHeight="1" x14ac:dyDescent="0.25">
      <c r="A15" s="126"/>
      <c r="B15" s="127"/>
      <c r="C15" s="127"/>
      <c r="D15" s="128"/>
      <c r="E15" s="128"/>
      <c r="F15" s="128"/>
      <c r="G15" s="128"/>
      <c r="H15" s="129"/>
      <c r="I15" s="129"/>
      <c r="J15" s="129"/>
      <c r="K15" s="129"/>
      <c r="L15" s="129"/>
      <c r="M15" s="130"/>
      <c r="N15" s="131"/>
      <c r="O15" s="132" t="s">
        <v>148</v>
      </c>
      <c r="P15" s="132">
        <f>P9+P10+P11+P12+P13+P14</f>
        <v>13855.555555555555</v>
      </c>
      <c r="Q15" s="132">
        <f t="shared" ref="Q15:S15" si="8">Q9+Q10+Q11+Q12+Q13+Q14</f>
        <v>20783.333333333336</v>
      </c>
      <c r="R15" s="132">
        <f t="shared" si="8"/>
        <v>49880</v>
      </c>
      <c r="S15" s="132">
        <f t="shared" si="8"/>
        <v>83133.333333333343</v>
      </c>
      <c r="T15" s="131"/>
    </row>
    <row r="16" spans="1:28" ht="15.75" customHeight="1" thickBot="1" x14ac:dyDescent="0.3">
      <c r="A16" s="310" t="s">
        <v>31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ht="15.75" customHeight="1" thickBot="1" x14ac:dyDescent="0.3">
      <c r="A17" s="34" t="s">
        <v>96</v>
      </c>
      <c r="B17" s="8" t="s">
        <v>26</v>
      </c>
      <c r="C17" s="9">
        <v>4</v>
      </c>
      <c r="D17" s="10">
        <f>H17/I17</f>
        <v>0.22222222222222221</v>
      </c>
      <c r="E17" s="11">
        <f>H17/J17</f>
        <v>0.33333333333333331</v>
      </c>
      <c r="F17" s="11">
        <f>H17/K17</f>
        <v>0.8</v>
      </c>
      <c r="G17" s="11">
        <f>H17/L17</f>
        <v>1.3333333333333333</v>
      </c>
      <c r="H17" s="12">
        <v>4</v>
      </c>
      <c r="I17" s="12">
        <v>18</v>
      </c>
      <c r="J17" s="12">
        <v>12</v>
      </c>
      <c r="K17" s="12">
        <v>5</v>
      </c>
      <c r="L17" s="80">
        <v>3</v>
      </c>
      <c r="M17" s="308" t="s">
        <v>27</v>
      </c>
      <c r="N17" s="83">
        <v>3</v>
      </c>
      <c r="O17" s="67">
        <v>1500</v>
      </c>
      <c r="P17" s="54">
        <f>D17*O17/N17</f>
        <v>111.1111111111111</v>
      </c>
      <c r="Q17" s="54">
        <f>E17*O17/N17</f>
        <v>166.66666666666666</v>
      </c>
      <c r="R17" s="54">
        <f>F17*O17/N17</f>
        <v>400</v>
      </c>
      <c r="S17" s="54">
        <f>G17*O17/N17</f>
        <v>666.66666666666663</v>
      </c>
      <c r="T17" s="35"/>
    </row>
    <row r="18" spans="1:20" ht="17.25" customHeight="1" thickBot="1" x14ac:dyDescent="0.3">
      <c r="A18" s="15" t="s">
        <v>97</v>
      </c>
      <c r="B18" s="8" t="s">
        <v>28</v>
      </c>
      <c r="C18" s="9">
        <v>1</v>
      </c>
      <c r="D18" s="10">
        <f t="shared" ref="D18:D34" si="9">H18/I18</f>
        <v>5.5555555555555552E-2</v>
      </c>
      <c r="E18" s="11">
        <f t="shared" ref="E18:E34" si="10">H18/J18</f>
        <v>8.3333333333333329E-2</v>
      </c>
      <c r="F18" s="11">
        <f t="shared" ref="F18:F34" si="11">H18/K18</f>
        <v>0.2</v>
      </c>
      <c r="G18" s="11">
        <f t="shared" ref="G18:G34" si="12">H18/L18</f>
        <v>0.33333333333333331</v>
      </c>
      <c r="H18" s="12">
        <v>1</v>
      </c>
      <c r="I18" s="12">
        <v>18</v>
      </c>
      <c r="J18" s="12">
        <v>12</v>
      </c>
      <c r="K18" s="12">
        <v>5</v>
      </c>
      <c r="L18" s="80">
        <v>3</v>
      </c>
      <c r="M18" s="298"/>
      <c r="N18" s="86">
        <v>5</v>
      </c>
      <c r="O18" s="68">
        <v>23500</v>
      </c>
      <c r="P18" s="54">
        <f t="shared" ref="P18:P34" si="13">D18*O18/N18</f>
        <v>261.11111111111109</v>
      </c>
      <c r="Q18" s="54">
        <f t="shared" ref="Q18:Q34" si="14">E18*O18/N18</f>
        <v>391.66666666666663</v>
      </c>
      <c r="R18" s="54">
        <f t="shared" ref="R18:R34" si="15">F18*O18/N18</f>
        <v>940</v>
      </c>
      <c r="S18" s="54">
        <f t="shared" ref="S18:S34" si="16">G18*O18/N18</f>
        <v>1566.6666666666665</v>
      </c>
      <c r="T18" s="36"/>
    </row>
    <row r="19" spans="1:20" ht="30.75" thickBot="1" x14ac:dyDescent="0.3">
      <c r="A19" s="15" t="s">
        <v>98</v>
      </c>
      <c r="B19" s="8" t="s">
        <v>28</v>
      </c>
      <c r="C19" s="9">
        <v>3</v>
      </c>
      <c r="D19" s="10">
        <f t="shared" si="9"/>
        <v>0.16666666666666666</v>
      </c>
      <c r="E19" s="11">
        <f t="shared" si="10"/>
        <v>0.25</v>
      </c>
      <c r="F19" s="11">
        <f t="shared" si="11"/>
        <v>0.6</v>
      </c>
      <c r="G19" s="11">
        <f t="shared" si="12"/>
        <v>1</v>
      </c>
      <c r="H19" s="12">
        <v>3</v>
      </c>
      <c r="I19" s="12">
        <v>18</v>
      </c>
      <c r="J19" s="12">
        <v>12</v>
      </c>
      <c r="K19" s="12">
        <v>5</v>
      </c>
      <c r="L19" s="80">
        <v>3</v>
      </c>
      <c r="M19" s="298"/>
      <c r="N19" s="86">
        <v>1</v>
      </c>
      <c r="O19" s="69">
        <v>200</v>
      </c>
      <c r="P19" s="54">
        <f t="shared" si="13"/>
        <v>33.333333333333329</v>
      </c>
      <c r="Q19" s="54">
        <f t="shared" si="14"/>
        <v>50</v>
      </c>
      <c r="R19" s="54">
        <f t="shared" si="15"/>
        <v>120</v>
      </c>
      <c r="S19" s="54">
        <f t="shared" si="16"/>
        <v>200</v>
      </c>
      <c r="T19" s="36"/>
    </row>
    <row r="20" spans="1:20" ht="15.75" thickBot="1" x14ac:dyDescent="0.3">
      <c r="A20" s="15" t="s">
        <v>99</v>
      </c>
      <c r="B20" s="8" t="s">
        <v>28</v>
      </c>
      <c r="C20" s="9">
        <v>1</v>
      </c>
      <c r="D20" s="10">
        <f t="shared" si="9"/>
        <v>5.5555555555555552E-2</v>
      </c>
      <c r="E20" s="11">
        <f t="shared" si="10"/>
        <v>8.3333333333333329E-2</v>
      </c>
      <c r="F20" s="11">
        <f t="shared" si="11"/>
        <v>0.2</v>
      </c>
      <c r="G20" s="11">
        <f t="shared" si="12"/>
        <v>0.33333333333333331</v>
      </c>
      <c r="H20" s="12">
        <v>1</v>
      </c>
      <c r="I20" s="12">
        <v>18</v>
      </c>
      <c r="J20" s="12">
        <v>12</v>
      </c>
      <c r="K20" s="12">
        <v>5</v>
      </c>
      <c r="L20" s="80">
        <v>3</v>
      </c>
      <c r="M20" s="298"/>
      <c r="N20" s="84">
        <v>3</v>
      </c>
      <c r="O20" s="69">
        <v>2800</v>
      </c>
      <c r="P20" s="54">
        <f t="shared" si="13"/>
        <v>51.851851851851848</v>
      </c>
      <c r="Q20" s="54">
        <f t="shared" si="14"/>
        <v>77.777777777777771</v>
      </c>
      <c r="R20" s="54">
        <f t="shared" si="15"/>
        <v>186.66666666666666</v>
      </c>
      <c r="S20" s="54">
        <f t="shared" si="16"/>
        <v>311.11111111111109</v>
      </c>
      <c r="T20" s="36"/>
    </row>
    <row r="21" spans="1:20" ht="15.75" thickBot="1" x14ac:dyDescent="0.3">
      <c r="A21" s="15" t="s">
        <v>100</v>
      </c>
      <c r="B21" s="8" t="s">
        <v>28</v>
      </c>
      <c r="C21" s="9">
        <v>10</v>
      </c>
      <c r="D21" s="10">
        <f t="shared" si="9"/>
        <v>0.55555555555555558</v>
      </c>
      <c r="E21" s="11">
        <f t="shared" si="10"/>
        <v>0.83333333333333337</v>
      </c>
      <c r="F21" s="11">
        <f t="shared" si="11"/>
        <v>2</v>
      </c>
      <c r="G21" s="11">
        <f t="shared" si="12"/>
        <v>3.3333333333333335</v>
      </c>
      <c r="H21" s="12">
        <v>10</v>
      </c>
      <c r="I21" s="12">
        <v>18</v>
      </c>
      <c r="J21" s="12">
        <v>12</v>
      </c>
      <c r="K21" s="12">
        <v>5</v>
      </c>
      <c r="L21" s="80">
        <v>3</v>
      </c>
      <c r="M21" s="298"/>
      <c r="N21" s="84">
        <v>1</v>
      </c>
      <c r="O21" s="69">
        <v>2600</v>
      </c>
      <c r="P21" s="54">
        <f t="shared" si="13"/>
        <v>1444.4444444444446</v>
      </c>
      <c r="Q21" s="54">
        <f t="shared" si="14"/>
        <v>2166.666666666667</v>
      </c>
      <c r="R21" s="54">
        <f t="shared" si="15"/>
        <v>5200</v>
      </c>
      <c r="S21" s="54">
        <f t="shared" si="16"/>
        <v>8666.6666666666679</v>
      </c>
      <c r="T21" s="36"/>
    </row>
    <row r="22" spans="1:20" ht="15.75" thickBot="1" x14ac:dyDescent="0.3">
      <c r="A22" s="15" t="s">
        <v>101</v>
      </c>
      <c r="B22" s="8" t="s">
        <v>26</v>
      </c>
      <c r="C22" s="9">
        <v>3</v>
      </c>
      <c r="D22" s="10">
        <f t="shared" si="9"/>
        <v>0.16666666666666666</v>
      </c>
      <c r="E22" s="11">
        <f t="shared" si="10"/>
        <v>0.25</v>
      </c>
      <c r="F22" s="11">
        <f t="shared" si="11"/>
        <v>0.6</v>
      </c>
      <c r="G22" s="11">
        <f t="shared" si="12"/>
        <v>1</v>
      </c>
      <c r="H22" s="12">
        <v>3</v>
      </c>
      <c r="I22" s="12">
        <v>18</v>
      </c>
      <c r="J22" s="12">
        <v>12</v>
      </c>
      <c r="K22" s="12">
        <v>5</v>
      </c>
      <c r="L22" s="80">
        <v>3</v>
      </c>
      <c r="M22" s="298"/>
      <c r="N22" s="86">
        <v>3</v>
      </c>
      <c r="O22" s="69">
        <v>1700</v>
      </c>
      <c r="P22" s="54">
        <f t="shared" si="13"/>
        <v>94.444444444444443</v>
      </c>
      <c r="Q22" s="54">
        <f t="shared" si="14"/>
        <v>141.66666666666666</v>
      </c>
      <c r="R22" s="54">
        <f t="shared" si="15"/>
        <v>340</v>
      </c>
      <c r="S22" s="54">
        <f t="shared" si="16"/>
        <v>566.66666666666663</v>
      </c>
      <c r="T22" s="36"/>
    </row>
    <row r="23" spans="1:20" ht="15.75" thickBot="1" x14ac:dyDescent="0.3">
      <c r="A23" s="25" t="s">
        <v>32</v>
      </c>
      <c r="B23" s="13" t="s">
        <v>28</v>
      </c>
      <c r="C23" s="14">
        <v>2</v>
      </c>
      <c r="D23" s="10">
        <f t="shared" si="9"/>
        <v>0.1111111111111111</v>
      </c>
      <c r="E23" s="11">
        <f t="shared" si="10"/>
        <v>0.16666666666666666</v>
      </c>
      <c r="F23" s="11">
        <f t="shared" si="11"/>
        <v>0.4</v>
      </c>
      <c r="G23" s="11">
        <f t="shared" si="12"/>
        <v>0.66666666666666663</v>
      </c>
      <c r="H23" s="12">
        <v>2</v>
      </c>
      <c r="I23" s="12">
        <v>18</v>
      </c>
      <c r="J23" s="12">
        <v>12</v>
      </c>
      <c r="K23" s="12">
        <v>5</v>
      </c>
      <c r="L23" s="80">
        <v>3</v>
      </c>
      <c r="M23" s="298"/>
      <c r="N23" s="84">
        <v>3</v>
      </c>
      <c r="O23" s="69">
        <v>1000</v>
      </c>
      <c r="P23" s="54">
        <f t="shared" si="13"/>
        <v>37.037037037037031</v>
      </c>
      <c r="Q23" s="54">
        <f t="shared" si="14"/>
        <v>55.55555555555555</v>
      </c>
      <c r="R23" s="54">
        <f t="shared" si="15"/>
        <v>133.33333333333334</v>
      </c>
      <c r="S23" s="54">
        <f t="shared" si="16"/>
        <v>222.2222222222222</v>
      </c>
      <c r="T23" s="36"/>
    </row>
    <row r="24" spans="1:20" ht="15.75" thickBot="1" x14ac:dyDescent="0.3">
      <c r="A24" s="46" t="s">
        <v>102</v>
      </c>
      <c r="B24" s="5" t="s">
        <v>28</v>
      </c>
      <c r="C24" s="5">
        <v>1</v>
      </c>
      <c r="D24" s="10">
        <f t="shared" si="9"/>
        <v>5.5555555555555552E-2</v>
      </c>
      <c r="E24" s="11">
        <f t="shared" si="10"/>
        <v>8.3333333333333329E-2</v>
      </c>
      <c r="F24" s="11">
        <f t="shared" si="11"/>
        <v>0.2</v>
      </c>
      <c r="G24" s="11">
        <f t="shared" si="12"/>
        <v>0.33333333333333331</v>
      </c>
      <c r="H24" s="12">
        <v>1</v>
      </c>
      <c r="I24" s="12">
        <v>18</v>
      </c>
      <c r="J24" s="12">
        <v>12</v>
      </c>
      <c r="K24" s="12">
        <v>5</v>
      </c>
      <c r="L24" s="80">
        <v>3</v>
      </c>
      <c r="M24" s="298"/>
      <c r="N24" s="84">
        <v>3</v>
      </c>
      <c r="O24" s="69">
        <v>800</v>
      </c>
      <c r="P24" s="54">
        <f t="shared" si="13"/>
        <v>14.814814814814815</v>
      </c>
      <c r="Q24" s="54">
        <f t="shared" si="14"/>
        <v>22.222222222222218</v>
      </c>
      <c r="R24" s="54">
        <f t="shared" si="15"/>
        <v>53.333333333333336</v>
      </c>
      <c r="S24" s="54">
        <f t="shared" si="16"/>
        <v>88.888888888888872</v>
      </c>
      <c r="T24" s="37"/>
    </row>
    <row r="25" spans="1:20" ht="15.75" customHeight="1" thickBot="1" x14ac:dyDescent="0.3">
      <c r="A25" s="15" t="s">
        <v>103</v>
      </c>
      <c r="B25" s="8" t="s">
        <v>28</v>
      </c>
      <c r="C25" s="8">
        <v>18</v>
      </c>
      <c r="D25" s="10">
        <f t="shared" si="9"/>
        <v>1</v>
      </c>
      <c r="E25" s="11">
        <f t="shared" si="10"/>
        <v>1.5</v>
      </c>
      <c r="F25" s="11">
        <f t="shared" si="11"/>
        <v>3.6</v>
      </c>
      <c r="G25" s="11">
        <f t="shared" si="12"/>
        <v>6</v>
      </c>
      <c r="H25" s="12">
        <v>18</v>
      </c>
      <c r="I25" s="12">
        <v>18</v>
      </c>
      <c r="J25" s="12">
        <v>12</v>
      </c>
      <c r="K25" s="12">
        <v>5</v>
      </c>
      <c r="L25" s="80">
        <v>3</v>
      </c>
      <c r="M25" s="298"/>
      <c r="N25" s="84">
        <v>1</v>
      </c>
      <c r="O25" s="69">
        <v>2500</v>
      </c>
      <c r="P25" s="54">
        <f t="shared" si="13"/>
        <v>2500</v>
      </c>
      <c r="Q25" s="54">
        <f t="shared" si="14"/>
        <v>3750</v>
      </c>
      <c r="R25" s="54">
        <f t="shared" si="15"/>
        <v>9000</v>
      </c>
      <c r="S25" s="54">
        <f t="shared" si="16"/>
        <v>15000</v>
      </c>
      <c r="T25" s="35"/>
    </row>
    <row r="26" spans="1:20" ht="15.75" thickBot="1" x14ac:dyDescent="0.3">
      <c r="A26" s="15" t="s">
        <v>104</v>
      </c>
      <c r="B26" s="8" t="s">
        <v>28</v>
      </c>
      <c r="C26" s="9">
        <v>1</v>
      </c>
      <c r="D26" s="10">
        <f t="shared" si="9"/>
        <v>5.5555555555555552E-2</v>
      </c>
      <c r="E26" s="11">
        <f t="shared" si="10"/>
        <v>8.3333333333333329E-2</v>
      </c>
      <c r="F26" s="11">
        <f t="shared" si="11"/>
        <v>0.2</v>
      </c>
      <c r="G26" s="11">
        <f t="shared" si="12"/>
        <v>0.33333333333333331</v>
      </c>
      <c r="H26" s="12">
        <v>1</v>
      </c>
      <c r="I26" s="12">
        <v>18</v>
      </c>
      <c r="J26" s="12">
        <v>12</v>
      </c>
      <c r="K26" s="12">
        <v>5</v>
      </c>
      <c r="L26" s="80">
        <v>3</v>
      </c>
      <c r="M26" s="298"/>
      <c r="N26" s="86">
        <v>5</v>
      </c>
      <c r="O26" s="69">
        <v>300000</v>
      </c>
      <c r="P26" s="54">
        <f t="shared" si="13"/>
        <v>3333.333333333333</v>
      </c>
      <c r="Q26" s="54">
        <f t="shared" si="14"/>
        <v>5000</v>
      </c>
      <c r="R26" s="54">
        <f t="shared" si="15"/>
        <v>12000</v>
      </c>
      <c r="S26" s="54">
        <f t="shared" si="16"/>
        <v>20000</v>
      </c>
      <c r="T26" s="36"/>
    </row>
    <row r="27" spans="1:20" ht="15.75" customHeight="1" thickBot="1" x14ac:dyDescent="0.3">
      <c r="A27" s="15" t="s">
        <v>105</v>
      </c>
      <c r="B27" s="8" t="s">
        <v>28</v>
      </c>
      <c r="C27" s="9">
        <v>1</v>
      </c>
      <c r="D27" s="10">
        <f t="shared" si="9"/>
        <v>5.5555555555555552E-2</v>
      </c>
      <c r="E27" s="11">
        <f t="shared" si="10"/>
        <v>8.3333333333333329E-2</v>
      </c>
      <c r="F27" s="11">
        <f t="shared" si="11"/>
        <v>0.2</v>
      </c>
      <c r="G27" s="11">
        <f t="shared" si="12"/>
        <v>0.33333333333333331</v>
      </c>
      <c r="H27" s="12">
        <v>1</v>
      </c>
      <c r="I27" s="12">
        <v>18</v>
      </c>
      <c r="J27" s="12">
        <v>12</v>
      </c>
      <c r="K27" s="12">
        <v>5</v>
      </c>
      <c r="L27" s="80">
        <v>3</v>
      </c>
      <c r="M27" s="298"/>
      <c r="N27" s="84">
        <v>5</v>
      </c>
      <c r="O27" s="69">
        <v>20000</v>
      </c>
      <c r="P27" s="54">
        <f t="shared" si="13"/>
        <v>222.22222222222223</v>
      </c>
      <c r="Q27" s="54">
        <f t="shared" si="14"/>
        <v>333.33333333333331</v>
      </c>
      <c r="R27" s="54">
        <f t="shared" si="15"/>
        <v>800</v>
      </c>
      <c r="S27" s="54">
        <f t="shared" si="16"/>
        <v>1333.3333333333333</v>
      </c>
      <c r="T27" s="36"/>
    </row>
    <row r="28" spans="1:20" ht="15" customHeight="1" thickBot="1" x14ac:dyDescent="0.3">
      <c r="A28" s="15" t="s">
        <v>106</v>
      </c>
      <c r="B28" s="8" t="s">
        <v>26</v>
      </c>
      <c r="C28" s="9">
        <v>1</v>
      </c>
      <c r="D28" s="10">
        <f t="shared" si="9"/>
        <v>5.5555555555555552E-2</v>
      </c>
      <c r="E28" s="11">
        <f t="shared" si="10"/>
        <v>8.3333333333333329E-2</v>
      </c>
      <c r="F28" s="11">
        <f t="shared" si="11"/>
        <v>0.2</v>
      </c>
      <c r="G28" s="11">
        <f t="shared" si="12"/>
        <v>0.33333333333333331</v>
      </c>
      <c r="H28" s="12">
        <v>1</v>
      </c>
      <c r="I28" s="12">
        <v>18</v>
      </c>
      <c r="J28" s="12">
        <v>12</v>
      </c>
      <c r="K28" s="12">
        <v>5</v>
      </c>
      <c r="L28" s="80">
        <v>3</v>
      </c>
      <c r="M28" s="298"/>
      <c r="N28" s="86">
        <v>20</v>
      </c>
      <c r="O28" s="68">
        <v>60000</v>
      </c>
      <c r="P28" s="54">
        <f t="shared" si="13"/>
        <v>166.66666666666666</v>
      </c>
      <c r="Q28" s="54">
        <f t="shared" si="14"/>
        <v>250</v>
      </c>
      <c r="R28" s="54">
        <f t="shared" si="15"/>
        <v>600</v>
      </c>
      <c r="S28" s="54">
        <f t="shared" si="16"/>
        <v>1000</v>
      </c>
      <c r="T28" s="36"/>
    </row>
    <row r="29" spans="1:20" ht="15" customHeight="1" thickBot="1" x14ac:dyDescent="0.3">
      <c r="A29" s="15" t="s">
        <v>107</v>
      </c>
      <c r="B29" s="8" t="s">
        <v>28</v>
      </c>
      <c r="C29" s="9">
        <v>5</v>
      </c>
      <c r="D29" s="10">
        <f t="shared" si="9"/>
        <v>0.27777777777777779</v>
      </c>
      <c r="E29" s="11">
        <f t="shared" si="10"/>
        <v>0.41666666666666669</v>
      </c>
      <c r="F29" s="11">
        <f t="shared" si="11"/>
        <v>1</v>
      </c>
      <c r="G29" s="11">
        <f t="shared" si="12"/>
        <v>1.6666666666666667</v>
      </c>
      <c r="H29" s="12">
        <v>5</v>
      </c>
      <c r="I29" s="12">
        <v>18</v>
      </c>
      <c r="J29" s="12">
        <v>12</v>
      </c>
      <c r="K29" s="12">
        <v>5</v>
      </c>
      <c r="L29" s="80">
        <v>3</v>
      </c>
      <c r="M29" s="298"/>
      <c r="N29" s="84">
        <v>3</v>
      </c>
      <c r="O29" s="69">
        <v>6000</v>
      </c>
      <c r="P29" s="54">
        <f t="shared" si="13"/>
        <v>555.55555555555554</v>
      </c>
      <c r="Q29" s="54">
        <f t="shared" si="14"/>
        <v>833.33333333333337</v>
      </c>
      <c r="R29" s="54">
        <f t="shared" si="15"/>
        <v>2000</v>
      </c>
      <c r="S29" s="54">
        <f t="shared" si="16"/>
        <v>3333.3333333333335</v>
      </c>
      <c r="T29" s="36"/>
    </row>
    <row r="30" spans="1:20" ht="15" customHeight="1" thickBot="1" x14ac:dyDescent="0.3">
      <c r="A30" s="15" t="s">
        <v>108</v>
      </c>
      <c r="B30" s="8" t="s">
        <v>28</v>
      </c>
      <c r="C30" s="9">
        <v>18</v>
      </c>
      <c r="D30" s="10">
        <f t="shared" si="9"/>
        <v>1</v>
      </c>
      <c r="E30" s="11">
        <f t="shared" si="10"/>
        <v>1.5</v>
      </c>
      <c r="F30" s="11">
        <f t="shared" si="11"/>
        <v>3.6</v>
      </c>
      <c r="G30" s="11">
        <f t="shared" si="12"/>
        <v>6</v>
      </c>
      <c r="H30" s="12">
        <v>18</v>
      </c>
      <c r="I30" s="12">
        <v>18</v>
      </c>
      <c r="J30" s="12">
        <v>12</v>
      </c>
      <c r="K30" s="12">
        <v>5</v>
      </c>
      <c r="L30" s="80">
        <v>3</v>
      </c>
      <c r="M30" s="298"/>
      <c r="N30" s="84">
        <v>2</v>
      </c>
      <c r="O30" s="69">
        <v>5000</v>
      </c>
      <c r="P30" s="54">
        <f t="shared" si="13"/>
        <v>2500</v>
      </c>
      <c r="Q30" s="54">
        <f t="shared" si="14"/>
        <v>3750</v>
      </c>
      <c r="R30" s="54">
        <f t="shared" si="15"/>
        <v>9000</v>
      </c>
      <c r="S30" s="54">
        <f t="shared" si="16"/>
        <v>15000</v>
      </c>
      <c r="T30" s="36"/>
    </row>
    <row r="31" spans="1:20" ht="15" customHeight="1" thickBot="1" x14ac:dyDescent="0.3">
      <c r="A31" s="15" t="s">
        <v>109</v>
      </c>
      <c r="B31" s="8" t="s">
        <v>28</v>
      </c>
      <c r="C31" s="9">
        <v>1</v>
      </c>
      <c r="D31" s="10">
        <f t="shared" si="9"/>
        <v>5.5555555555555552E-2</v>
      </c>
      <c r="E31" s="11">
        <f t="shared" si="10"/>
        <v>8.3333333333333329E-2</v>
      </c>
      <c r="F31" s="11">
        <f t="shared" si="11"/>
        <v>0.2</v>
      </c>
      <c r="G31" s="11">
        <f t="shared" si="12"/>
        <v>0.33333333333333331</v>
      </c>
      <c r="H31" s="12">
        <v>1</v>
      </c>
      <c r="I31" s="12">
        <v>18</v>
      </c>
      <c r="J31" s="12">
        <v>12</v>
      </c>
      <c r="K31" s="12">
        <v>5</v>
      </c>
      <c r="L31" s="80">
        <v>3</v>
      </c>
      <c r="M31" s="298"/>
      <c r="N31" s="84">
        <v>3</v>
      </c>
      <c r="O31" s="68">
        <v>3000</v>
      </c>
      <c r="P31" s="54">
        <f t="shared" si="13"/>
        <v>55.55555555555555</v>
      </c>
      <c r="Q31" s="54">
        <f t="shared" si="14"/>
        <v>83.333333333333329</v>
      </c>
      <c r="R31" s="54">
        <f t="shared" si="15"/>
        <v>200</v>
      </c>
      <c r="S31" s="54">
        <f t="shared" si="16"/>
        <v>333.33333333333331</v>
      </c>
      <c r="T31" s="36"/>
    </row>
    <row r="32" spans="1:20" ht="30" customHeight="1" thickBot="1" x14ac:dyDescent="0.3">
      <c r="A32" s="15" t="s">
        <v>110</v>
      </c>
      <c r="B32" s="8" t="s">
        <v>28</v>
      </c>
      <c r="C32" s="9">
        <v>1</v>
      </c>
      <c r="D32" s="10">
        <f t="shared" si="9"/>
        <v>5.5555555555555552E-2</v>
      </c>
      <c r="E32" s="11">
        <f t="shared" si="10"/>
        <v>8.3333333333333329E-2</v>
      </c>
      <c r="F32" s="11">
        <f t="shared" si="11"/>
        <v>0.2</v>
      </c>
      <c r="G32" s="11">
        <f t="shared" si="12"/>
        <v>0.33333333333333331</v>
      </c>
      <c r="H32" s="12">
        <v>1</v>
      </c>
      <c r="I32" s="12">
        <v>18</v>
      </c>
      <c r="J32" s="12">
        <v>12</v>
      </c>
      <c r="K32" s="12">
        <v>5</v>
      </c>
      <c r="L32" s="80">
        <v>3</v>
      </c>
      <c r="M32" s="298"/>
      <c r="N32" s="84">
        <v>3</v>
      </c>
      <c r="O32" s="68">
        <v>8000</v>
      </c>
      <c r="P32" s="54">
        <f t="shared" si="13"/>
        <v>148.14814814814812</v>
      </c>
      <c r="Q32" s="54">
        <f t="shared" si="14"/>
        <v>222.2222222222222</v>
      </c>
      <c r="R32" s="54">
        <f t="shared" si="15"/>
        <v>533.33333333333337</v>
      </c>
      <c r="S32" s="54">
        <f t="shared" si="16"/>
        <v>888.8888888888888</v>
      </c>
      <c r="T32" s="36"/>
    </row>
    <row r="33" spans="1:28" ht="33" customHeight="1" thickBot="1" x14ac:dyDescent="0.3">
      <c r="A33" s="15" t="s">
        <v>111</v>
      </c>
      <c r="B33" s="8" t="s">
        <v>28</v>
      </c>
      <c r="C33" s="9">
        <v>1</v>
      </c>
      <c r="D33" s="10">
        <f t="shared" si="9"/>
        <v>5.5555555555555552E-2</v>
      </c>
      <c r="E33" s="11">
        <f t="shared" si="10"/>
        <v>8.3333333333333329E-2</v>
      </c>
      <c r="F33" s="11">
        <f t="shared" si="11"/>
        <v>0.2</v>
      </c>
      <c r="G33" s="11">
        <f t="shared" si="12"/>
        <v>0.33333333333333331</v>
      </c>
      <c r="H33" s="12">
        <v>1</v>
      </c>
      <c r="I33" s="12">
        <v>18</v>
      </c>
      <c r="J33" s="12">
        <v>12</v>
      </c>
      <c r="K33" s="12">
        <v>5</v>
      </c>
      <c r="L33" s="80">
        <v>3</v>
      </c>
      <c r="M33" s="298"/>
      <c r="N33" s="84">
        <v>3</v>
      </c>
      <c r="O33" s="68">
        <v>45000</v>
      </c>
      <c r="P33" s="54">
        <f t="shared" si="13"/>
        <v>833.33333333333337</v>
      </c>
      <c r="Q33" s="54">
        <f t="shared" si="14"/>
        <v>1250</v>
      </c>
      <c r="R33" s="54">
        <f t="shared" si="15"/>
        <v>3000</v>
      </c>
      <c r="S33" s="54">
        <f t="shared" si="16"/>
        <v>5000</v>
      </c>
      <c r="T33" s="36"/>
    </row>
    <row r="34" spans="1:28" ht="33" customHeight="1" thickBot="1" x14ac:dyDescent="0.3">
      <c r="A34" s="15" t="s">
        <v>112</v>
      </c>
      <c r="B34" s="8" t="s">
        <v>28</v>
      </c>
      <c r="C34" s="9">
        <v>1</v>
      </c>
      <c r="D34" s="10">
        <f t="shared" si="9"/>
        <v>5.5555555555555552E-2</v>
      </c>
      <c r="E34" s="11">
        <f t="shared" si="10"/>
        <v>8.3333333333333329E-2</v>
      </c>
      <c r="F34" s="11">
        <f t="shared" si="11"/>
        <v>0.2</v>
      </c>
      <c r="G34" s="11">
        <f t="shared" si="12"/>
        <v>0.33333333333333331</v>
      </c>
      <c r="H34" s="12">
        <v>1</v>
      </c>
      <c r="I34" s="12">
        <v>18</v>
      </c>
      <c r="J34" s="12">
        <v>12</v>
      </c>
      <c r="K34" s="12">
        <v>5</v>
      </c>
      <c r="L34" s="80">
        <v>3</v>
      </c>
      <c r="M34" s="309"/>
      <c r="N34" s="85">
        <v>7</v>
      </c>
      <c r="O34" s="69">
        <v>39000</v>
      </c>
      <c r="P34" s="54">
        <f t="shared" si="13"/>
        <v>309.52380952380952</v>
      </c>
      <c r="Q34" s="54">
        <f t="shared" si="14"/>
        <v>464.28571428571428</v>
      </c>
      <c r="R34" s="54">
        <f t="shared" si="15"/>
        <v>1114.2857142857142</v>
      </c>
      <c r="S34" s="54">
        <f t="shared" si="16"/>
        <v>1857.1428571428571</v>
      </c>
      <c r="T34" s="36"/>
    </row>
    <row r="35" spans="1:28" s="109" customFormat="1" ht="23.25" customHeight="1" thickBot="1" x14ac:dyDescent="0.3">
      <c r="A35" s="126"/>
      <c r="B35" s="127"/>
      <c r="C35" s="127"/>
      <c r="D35" s="128"/>
      <c r="E35" s="128"/>
      <c r="F35" s="128"/>
      <c r="G35" s="128"/>
      <c r="H35" s="129"/>
      <c r="I35" s="129"/>
      <c r="J35" s="129"/>
      <c r="K35" s="129"/>
      <c r="L35" s="129"/>
      <c r="M35" s="130"/>
      <c r="N35" s="131"/>
      <c r="O35" s="132" t="s">
        <v>148</v>
      </c>
      <c r="P35" s="132">
        <f>SUM(P17:P34)</f>
        <v>12672.486772486771</v>
      </c>
      <c r="Q35" s="132">
        <f>SUM(Q17:Q34)</f>
        <v>19008.730158730159</v>
      </c>
      <c r="R35" s="132">
        <f t="shared" ref="R35:S35" si="17">SUM(R17:R34)</f>
        <v>45620.952380952382</v>
      </c>
      <c r="S35" s="132">
        <f t="shared" si="17"/>
        <v>76034.920634920636</v>
      </c>
      <c r="T35" s="131"/>
    </row>
    <row r="36" spans="1:28" ht="26.25" customHeight="1" thickBot="1" x14ac:dyDescent="0.3">
      <c r="A36" s="293" t="s">
        <v>113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  <row r="37" spans="1:28" ht="15.75" customHeight="1" thickBot="1" x14ac:dyDescent="0.3">
      <c r="A37" s="34" t="s">
        <v>114</v>
      </c>
      <c r="B37" s="8" t="s">
        <v>26</v>
      </c>
      <c r="C37" s="9">
        <v>1</v>
      </c>
      <c r="D37" s="70">
        <f>H37/I37</f>
        <v>5.5555555555555552E-2</v>
      </c>
      <c r="E37" s="71">
        <f>H37/J37</f>
        <v>8.3333333333333329E-2</v>
      </c>
      <c r="F37" s="71">
        <f>H37/K37</f>
        <v>0.2</v>
      </c>
      <c r="G37" s="71">
        <f>H37/L37</f>
        <v>0.33333333333333331</v>
      </c>
      <c r="H37" s="72">
        <v>1</v>
      </c>
      <c r="I37" s="72">
        <v>18</v>
      </c>
      <c r="J37" s="72">
        <v>12</v>
      </c>
      <c r="K37" s="72">
        <v>5</v>
      </c>
      <c r="L37" s="81">
        <v>3</v>
      </c>
      <c r="M37" s="295" t="s">
        <v>27</v>
      </c>
      <c r="N37" s="73">
        <v>2</v>
      </c>
      <c r="O37" s="67">
        <v>30000</v>
      </c>
      <c r="P37" s="54">
        <f>D37*O37/N37</f>
        <v>833.33333333333326</v>
      </c>
      <c r="Q37" s="54">
        <f>E37*O37/N37</f>
        <v>1250</v>
      </c>
      <c r="R37" s="54">
        <f>F37*O37/N37</f>
        <v>3000</v>
      </c>
      <c r="S37" s="54">
        <f>G37*O37/N37</f>
        <v>5000</v>
      </c>
      <c r="T37" s="35"/>
    </row>
    <row r="38" spans="1:28" ht="33" customHeight="1" thickBot="1" x14ac:dyDescent="0.3">
      <c r="A38" s="15" t="s">
        <v>115</v>
      </c>
      <c r="B38" s="8" t="s">
        <v>26</v>
      </c>
      <c r="C38" s="9">
        <v>1</v>
      </c>
      <c r="D38" s="10">
        <f t="shared" ref="D38:D40" si="18">H38/I38</f>
        <v>5.5555555555555552E-2</v>
      </c>
      <c r="E38" s="11">
        <f t="shared" ref="E38:E40" si="19">H38/J38</f>
        <v>8.3333333333333329E-2</v>
      </c>
      <c r="F38" s="11">
        <f t="shared" ref="F38:F40" si="20">H38/K38</f>
        <v>0.2</v>
      </c>
      <c r="G38" s="11">
        <f t="shared" ref="G38:G40" si="21">H38/L38</f>
        <v>0.33333333333333331</v>
      </c>
      <c r="H38" s="12">
        <v>1</v>
      </c>
      <c r="I38" s="12">
        <v>18</v>
      </c>
      <c r="J38" s="12">
        <v>12</v>
      </c>
      <c r="K38" s="12">
        <v>5</v>
      </c>
      <c r="L38" s="80">
        <v>3</v>
      </c>
      <c r="M38" s="296"/>
      <c r="N38" s="74">
        <v>5</v>
      </c>
      <c r="O38" s="68">
        <v>50000</v>
      </c>
      <c r="P38" s="54">
        <f t="shared" ref="P38:P40" si="22">D38*O38/N38</f>
        <v>555.55555555555554</v>
      </c>
      <c r="Q38" s="54">
        <f t="shared" ref="Q38:Q40" si="23">E38*O38/N38</f>
        <v>833.33333333333326</v>
      </c>
      <c r="R38" s="54">
        <f t="shared" ref="R38:R40" si="24">F38*O38/N38</f>
        <v>2000</v>
      </c>
      <c r="S38" s="54">
        <f t="shared" ref="S38:S40" si="25">G38*O38/N38</f>
        <v>3333.333333333333</v>
      </c>
      <c r="T38" s="36"/>
    </row>
    <row r="39" spans="1:28" ht="15.75" thickBot="1" x14ac:dyDescent="0.3">
      <c r="A39" s="15" t="s">
        <v>72</v>
      </c>
      <c r="B39" s="8" t="s">
        <v>28</v>
      </c>
      <c r="C39" s="9">
        <v>1</v>
      </c>
      <c r="D39" s="10">
        <f t="shared" si="18"/>
        <v>5.5555555555555552E-2</v>
      </c>
      <c r="E39" s="11">
        <f t="shared" si="19"/>
        <v>8.3333333333333329E-2</v>
      </c>
      <c r="F39" s="11">
        <f t="shared" si="20"/>
        <v>0.2</v>
      </c>
      <c r="G39" s="11">
        <f t="shared" si="21"/>
        <v>0.33333333333333331</v>
      </c>
      <c r="H39" s="12">
        <v>1</v>
      </c>
      <c r="I39" s="12">
        <v>18</v>
      </c>
      <c r="J39" s="12">
        <v>12</v>
      </c>
      <c r="K39" s="12">
        <v>5</v>
      </c>
      <c r="L39" s="80">
        <v>3</v>
      </c>
      <c r="M39" s="296"/>
      <c r="N39" s="75">
        <v>5</v>
      </c>
      <c r="O39" s="69">
        <v>5200</v>
      </c>
      <c r="P39" s="54">
        <f t="shared" si="22"/>
        <v>57.777777777777771</v>
      </c>
      <c r="Q39" s="54">
        <f t="shared" si="23"/>
        <v>86.666666666666657</v>
      </c>
      <c r="R39" s="54">
        <f t="shared" si="24"/>
        <v>208</v>
      </c>
      <c r="S39" s="54">
        <f t="shared" si="25"/>
        <v>346.66666666666663</v>
      </c>
      <c r="T39" s="36"/>
    </row>
    <row r="40" spans="1:28" ht="50.25" customHeight="1" thickBot="1" x14ac:dyDescent="0.3">
      <c r="A40" s="15" t="s">
        <v>116</v>
      </c>
      <c r="B40" s="8" t="s">
        <v>28</v>
      </c>
      <c r="C40" s="9">
        <v>1</v>
      </c>
      <c r="D40" s="76">
        <f t="shared" si="18"/>
        <v>5.5555555555555552E-2</v>
      </c>
      <c r="E40" s="77">
        <f t="shared" si="19"/>
        <v>8.3333333333333329E-2</v>
      </c>
      <c r="F40" s="77">
        <f t="shared" si="20"/>
        <v>0.2</v>
      </c>
      <c r="G40" s="77">
        <f t="shared" si="21"/>
        <v>0.33333333333333331</v>
      </c>
      <c r="H40" s="78">
        <v>1</v>
      </c>
      <c r="I40" s="78">
        <v>18</v>
      </c>
      <c r="J40" s="78">
        <v>12</v>
      </c>
      <c r="K40" s="78">
        <v>5</v>
      </c>
      <c r="L40" s="82">
        <v>3</v>
      </c>
      <c r="M40" s="297"/>
      <c r="N40" s="79">
        <v>1</v>
      </c>
      <c r="O40" s="69">
        <v>550</v>
      </c>
      <c r="P40" s="54">
        <f t="shared" si="22"/>
        <v>30.555555555555554</v>
      </c>
      <c r="Q40" s="54">
        <f t="shared" si="23"/>
        <v>45.833333333333329</v>
      </c>
      <c r="R40" s="54">
        <f t="shared" si="24"/>
        <v>110</v>
      </c>
      <c r="S40" s="54">
        <f t="shared" si="25"/>
        <v>183.33333333333331</v>
      </c>
      <c r="T40" s="36"/>
    </row>
    <row r="41" spans="1:28" s="109" customFormat="1" ht="23.25" customHeight="1" x14ac:dyDescent="0.25">
      <c r="A41" s="126"/>
      <c r="B41" s="127"/>
      <c r="C41" s="127"/>
      <c r="D41" s="128"/>
      <c r="E41" s="128"/>
      <c r="F41" s="128"/>
      <c r="G41" s="128"/>
      <c r="H41" s="129"/>
      <c r="I41" s="129"/>
      <c r="J41" s="129"/>
      <c r="K41" s="129"/>
      <c r="L41" s="129"/>
      <c r="M41" s="130"/>
      <c r="N41" s="131"/>
      <c r="O41" s="132" t="s">
        <v>148</v>
      </c>
      <c r="P41" s="132">
        <f>SUM(P37:P40)</f>
        <v>1477.2222222222222</v>
      </c>
      <c r="Q41" s="132">
        <f t="shared" ref="Q41:S41" si="26">SUM(Q37:Q40)</f>
        <v>2215.833333333333</v>
      </c>
      <c r="R41" s="132">
        <f t="shared" si="26"/>
        <v>5318</v>
      </c>
      <c r="S41" s="132">
        <f t="shared" si="26"/>
        <v>8863.3333333333321</v>
      </c>
      <c r="T41" s="131"/>
    </row>
    <row r="42" spans="1:28" ht="25.5" customHeight="1" thickBot="1" x14ac:dyDescent="0.3">
      <c r="A42" s="307" t="s">
        <v>149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</row>
    <row r="43" spans="1:28" ht="126.75" customHeight="1" thickBot="1" x14ac:dyDescent="0.3">
      <c r="A43" s="22" t="s">
        <v>33</v>
      </c>
      <c r="B43" s="22" t="s">
        <v>15</v>
      </c>
      <c r="C43" s="22" t="s">
        <v>34</v>
      </c>
      <c r="D43" s="5" t="s">
        <v>132</v>
      </c>
      <c r="E43" s="100" t="s">
        <v>133</v>
      </c>
      <c r="F43" s="100" t="s">
        <v>134</v>
      </c>
      <c r="G43" s="100" t="s">
        <v>135</v>
      </c>
      <c r="H43" s="100" t="s">
        <v>136</v>
      </c>
      <c r="I43" s="100" t="s">
        <v>137</v>
      </c>
      <c r="J43" s="100" t="s">
        <v>138</v>
      </c>
      <c r="K43" s="100" t="s">
        <v>139</v>
      </c>
      <c r="L43" s="16" t="s">
        <v>17</v>
      </c>
      <c r="M43" s="17" t="s">
        <v>18</v>
      </c>
      <c r="N43" s="17" t="s">
        <v>19</v>
      </c>
      <c r="O43" s="17" t="s">
        <v>20</v>
      </c>
      <c r="P43" s="18" t="s">
        <v>22</v>
      </c>
      <c r="Q43" s="18" t="s">
        <v>23</v>
      </c>
      <c r="R43" s="18" t="s">
        <v>24</v>
      </c>
      <c r="S43" s="18" t="s">
        <v>25</v>
      </c>
      <c r="T43" s="18" t="s">
        <v>35</v>
      </c>
      <c r="U43" s="6" t="s">
        <v>4</v>
      </c>
      <c r="V43" s="41" t="s">
        <v>49</v>
      </c>
      <c r="W43" s="42" t="s">
        <v>50</v>
      </c>
      <c r="X43" s="42" t="s">
        <v>51</v>
      </c>
      <c r="Y43" s="42" t="s">
        <v>52</v>
      </c>
      <c r="Z43" s="42" t="s">
        <v>53</v>
      </c>
      <c r="AA43" s="42" t="s">
        <v>54</v>
      </c>
      <c r="AB43" s="42" t="s">
        <v>4</v>
      </c>
    </row>
    <row r="44" spans="1:28" ht="15.75" thickBot="1" x14ac:dyDescent="0.3">
      <c r="A44" s="5">
        <v>1</v>
      </c>
      <c r="B44" s="57"/>
      <c r="C44" s="57"/>
      <c r="D44" s="57"/>
      <c r="E44" s="57"/>
      <c r="F44" s="57"/>
      <c r="G44" s="57"/>
      <c r="H44" s="57"/>
      <c r="I44" s="57"/>
      <c r="J44" s="57"/>
      <c r="K44" s="56"/>
      <c r="L44" s="26" t="s">
        <v>36</v>
      </c>
      <c r="M44" s="27" t="s">
        <v>37</v>
      </c>
      <c r="N44" s="27" t="s">
        <v>38</v>
      </c>
      <c r="O44" s="27" t="s">
        <v>39</v>
      </c>
      <c r="P44" s="28">
        <v>6</v>
      </c>
      <c r="Q44" s="27">
        <v>7</v>
      </c>
      <c r="R44" s="27">
        <v>8</v>
      </c>
      <c r="S44" s="27">
        <v>9</v>
      </c>
      <c r="T44" s="29">
        <v>10</v>
      </c>
      <c r="U44" s="7">
        <v>11</v>
      </c>
      <c r="V44" s="110">
        <v>12</v>
      </c>
      <c r="W44" s="111">
        <v>13</v>
      </c>
      <c r="X44" s="111">
        <v>14</v>
      </c>
      <c r="Y44" s="111">
        <v>15</v>
      </c>
      <c r="Z44" s="111">
        <v>16</v>
      </c>
      <c r="AA44" s="111">
        <v>17</v>
      </c>
      <c r="AB44" s="111">
        <v>18</v>
      </c>
    </row>
    <row r="45" spans="1:28" ht="17.25" customHeight="1" thickBot="1" x14ac:dyDescent="0.3">
      <c r="A45" s="53" t="s">
        <v>117</v>
      </c>
      <c r="B45" s="8" t="s">
        <v>42</v>
      </c>
      <c r="C45" s="43" t="s">
        <v>40</v>
      </c>
      <c r="D45" s="51" t="s">
        <v>41</v>
      </c>
      <c r="E45" s="47" t="s">
        <v>41</v>
      </c>
      <c r="F45" s="51">
        <v>1</v>
      </c>
      <c r="G45" s="47">
        <v>12</v>
      </c>
      <c r="H45" s="51">
        <v>2</v>
      </c>
      <c r="I45" s="47">
        <v>12</v>
      </c>
      <c r="J45" s="51">
        <v>2</v>
      </c>
      <c r="K45" s="48">
        <v>12</v>
      </c>
      <c r="L45" s="52">
        <f>P45/T45</f>
        <v>0</v>
      </c>
      <c r="M45" s="49">
        <f>Q45/T45</f>
        <v>1</v>
      </c>
      <c r="N45" s="49">
        <f>R45/T45</f>
        <v>2</v>
      </c>
      <c r="O45" s="49">
        <f>S45/T45</f>
        <v>2</v>
      </c>
      <c r="P45" s="49">
        <v>0</v>
      </c>
      <c r="Q45" s="49">
        <f>F45</f>
        <v>1</v>
      </c>
      <c r="R45" s="49">
        <f>H45</f>
        <v>2</v>
      </c>
      <c r="S45" s="49">
        <f>J45</f>
        <v>2</v>
      </c>
      <c r="T45" s="49">
        <v>1</v>
      </c>
      <c r="U45" s="305" t="s">
        <v>48</v>
      </c>
      <c r="V45" s="73">
        <v>1</v>
      </c>
      <c r="W45" s="67">
        <v>4500</v>
      </c>
      <c r="X45" s="54">
        <f>L45*W45/1</f>
        <v>0</v>
      </c>
      <c r="Y45" s="54">
        <f>M45*W45/1</f>
        <v>4500</v>
      </c>
      <c r="Z45" s="54">
        <f>N45*W45/1</f>
        <v>9000</v>
      </c>
      <c r="AA45" s="54">
        <f>O45*W45/1</f>
        <v>9000</v>
      </c>
      <c r="AB45" s="35"/>
    </row>
    <row r="46" spans="1:28" ht="17.25" customHeight="1" thickBot="1" x14ac:dyDescent="0.3">
      <c r="A46" s="15" t="s">
        <v>118</v>
      </c>
      <c r="B46" s="8" t="s">
        <v>42</v>
      </c>
      <c r="C46" s="43" t="s">
        <v>40</v>
      </c>
      <c r="D46" s="51">
        <v>1</v>
      </c>
      <c r="E46" s="47">
        <v>12</v>
      </c>
      <c r="F46" s="51">
        <v>1</v>
      </c>
      <c r="G46" s="47">
        <v>12</v>
      </c>
      <c r="H46" s="51">
        <v>2</v>
      </c>
      <c r="I46" s="47">
        <v>12</v>
      </c>
      <c r="J46" s="51">
        <v>2</v>
      </c>
      <c r="K46" s="48">
        <v>12</v>
      </c>
      <c r="L46" s="52">
        <f t="shared" ref="L46:L62" si="27">P46/T46</f>
        <v>0</v>
      </c>
      <c r="M46" s="50">
        <f>Q46/T46</f>
        <v>0</v>
      </c>
      <c r="N46" s="50">
        <f>R46/T46</f>
        <v>2</v>
      </c>
      <c r="O46" s="50">
        <f>S46/T46</f>
        <v>2</v>
      </c>
      <c r="P46" s="50">
        <v>0</v>
      </c>
      <c r="Q46" s="50">
        <v>0</v>
      </c>
      <c r="R46" s="50">
        <f>H46</f>
        <v>2</v>
      </c>
      <c r="S46" s="50">
        <f>J46</f>
        <v>2</v>
      </c>
      <c r="T46" s="50">
        <v>1</v>
      </c>
      <c r="U46" s="305"/>
      <c r="V46" s="73">
        <v>1</v>
      </c>
      <c r="W46" s="67">
        <v>6000</v>
      </c>
      <c r="X46" s="54">
        <f t="shared" ref="X46:X53" si="28">L46*W46/1</f>
        <v>0</v>
      </c>
      <c r="Y46" s="54">
        <f t="shared" ref="Y46:Y53" si="29">M46*W46/1</f>
        <v>0</v>
      </c>
      <c r="Z46" s="54">
        <f t="shared" ref="Z46:Z53" si="30">N46*W46/1</f>
        <v>12000</v>
      </c>
      <c r="AA46" s="54">
        <f t="shared" ref="AA46:AA53" si="31">O46*W46/1</f>
        <v>12000</v>
      </c>
      <c r="AB46" s="35"/>
    </row>
    <row r="47" spans="1:28" ht="17.25" customHeight="1" thickBot="1" x14ac:dyDescent="0.3">
      <c r="A47" s="15" t="s">
        <v>119</v>
      </c>
      <c r="B47" s="8" t="s">
        <v>42</v>
      </c>
      <c r="C47" s="43" t="s">
        <v>40</v>
      </c>
      <c r="D47" s="51">
        <v>0</v>
      </c>
      <c r="E47" s="47">
        <v>0</v>
      </c>
      <c r="F47" s="51">
        <v>1</v>
      </c>
      <c r="G47" s="47">
        <v>12</v>
      </c>
      <c r="H47" s="51">
        <v>1</v>
      </c>
      <c r="I47" s="47">
        <v>12</v>
      </c>
      <c r="J47" s="51">
        <v>1</v>
      </c>
      <c r="K47" s="48">
        <v>12</v>
      </c>
      <c r="L47" s="52">
        <f t="shared" si="27"/>
        <v>0</v>
      </c>
      <c r="M47" s="50">
        <f t="shared" ref="M47:M55" si="32">Q47/T47</f>
        <v>1</v>
      </c>
      <c r="N47" s="50">
        <f t="shared" ref="N47:N57" si="33">R47/T47</f>
        <v>1</v>
      </c>
      <c r="O47" s="50">
        <f t="shared" ref="O47:O62" si="34">S47/T47</f>
        <v>1</v>
      </c>
      <c r="P47" s="50">
        <f t="shared" ref="P47:P58" si="35">D47</f>
        <v>0</v>
      </c>
      <c r="Q47" s="50">
        <f t="shared" ref="Q47:Q58" si="36">F47</f>
        <v>1</v>
      </c>
      <c r="R47" s="50">
        <f t="shared" ref="R47:R62" si="37">H47</f>
        <v>1</v>
      </c>
      <c r="S47" s="50">
        <f t="shared" ref="S47:S62" si="38">J47</f>
        <v>1</v>
      </c>
      <c r="T47" s="50">
        <v>1</v>
      </c>
      <c r="U47" s="305"/>
      <c r="V47" s="73">
        <v>1</v>
      </c>
      <c r="W47" s="67">
        <v>1000</v>
      </c>
      <c r="X47" s="54">
        <f t="shared" si="28"/>
        <v>0</v>
      </c>
      <c r="Y47" s="54">
        <f t="shared" si="29"/>
        <v>1000</v>
      </c>
      <c r="Z47" s="54">
        <f t="shared" si="30"/>
        <v>1000</v>
      </c>
      <c r="AA47" s="54">
        <f t="shared" si="31"/>
        <v>1000</v>
      </c>
      <c r="AB47" s="35"/>
    </row>
    <row r="48" spans="1:28" ht="17.25" customHeight="1" thickBot="1" x14ac:dyDescent="0.3">
      <c r="A48" s="15" t="s">
        <v>120</v>
      </c>
      <c r="B48" s="8" t="s">
        <v>42</v>
      </c>
      <c r="C48" s="43" t="s">
        <v>40</v>
      </c>
      <c r="D48" s="51">
        <v>2</v>
      </c>
      <c r="E48" s="47">
        <v>24</v>
      </c>
      <c r="F48" s="51">
        <v>6</v>
      </c>
      <c r="G48" s="47">
        <v>12</v>
      </c>
      <c r="H48" s="51">
        <v>10</v>
      </c>
      <c r="I48" s="47">
        <v>12</v>
      </c>
      <c r="J48" s="51">
        <v>10</v>
      </c>
      <c r="K48" s="48">
        <v>12</v>
      </c>
      <c r="L48" s="52">
        <f t="shared" si="27"/>
        <v>2</v>
      </c>
      <c r="M48" s="50"/>
      <c r="N48" s="50"/>
      <c r="O48" s="50">
        <f t="shared" si="34"/>
        <v>10</v>
      </c>
      <c r="P48" s="50">
        <f t="shared" si="35"/>
        <v>2</v>
      </c>
      <c r="Q48" s="50">
        <f t="shared" si="36"/>
        <v>6</v>
      </c>
      <c r="R48" s="50">
        <f t="shared" si="37"/>
        <v>10</v>
      </c>
      <c r="S48" s="50">
        <f t="shared" si="38"/>
        <v>10</v>
      </c>
      <c r="T48" s="50">
        <v>1</v>
      </c>
      <c r="U48" s="305"/>
      <c r="V48" s="73">
        <v>1</v>
      </c>
      <c r="W48" s="67">
        <v>150</v>
      </c>
      <c r="X48" s="54">
        <f t="shared" si="28"/>
        <v>300</v>
      </c>
      <c r="Y48" s="54">
        <f t="shared" si="29"/>
        <v>0</v>
      </c>
      <c r="Z48" s="54">
        <f t="shared" si="30"/>
        <v>0</v>
      </c>
      <c r="AA48" s="54">
        <f t="shared" si="31"/>
        <v>1500</v>
      </c>
      <c r="AB48" s="35"/>
    </row>
    <row r="49" spans="1:28" ht="17.25" customHeight="1" thickBot="1" x14ac:dyDescent="0.3">
      <c r="A49" s="15" t="s">
        <v>121</v>
      </c>
      <c r="B49" s="8" t="s">
        <v>28</v>
      </c>
      <c r="C49" s="43" t="s">
        <v>40</v>
      </c>
      <c r="D49" s="51">
        <v>1</v>
      </c>
      <c r="E49" s="47">
        <v>24</v>
      </c>
      <c r="F49" s="51">
        <v>1</v>
      </c>
      <c r="G49" s="47">
        <v>24</v>
      </c>
      <c r="H49" s="51">
        <v>1</v>
      </c>
      <c r="I49" s="47">
        <v>12</v>
      </c>
      <c r="J49" s="51">
        <v>1</v>
      </c>
      <c r="K49" s="48">
        <v>12</v>
      </c>
      <c r="L49" s="52">
        <f t="shared" si="27"/>
        <v>1</v>
      </c>
      <c r="M49" s="50">
        <f>Q49/T49</f>
        <v>1</v>
      </c>
      <c r="N49" s="50">
        <f t="shared" si="33"/>
        <v>1</v>
      </c>
      <c r="O49" s="50">
        <f t="shared" si="34"/>
        <v>1</v>
      </c>
      <c r="P49" s="50">
        <f t="shared" si="35"/>
        <v>1</v>
      </c>
      <c r="Q49" s="50">
        <f t="shared" si="36"/>
        <v>1</v>
      </c>
      <c r="R49" s="50">
        <f t="shared" si="37"/>
        <v>1</v>
      </c>
      <c r="S49" s="50">
        <f t="shared" si="38"/>
        <v>1</v>
      </c>
      <c r="T49" s="50">
        <v>1</v>
      </c>
      <c r="U49" s="305"/>
      <c r="V49" s="73">
        <v>1</v>
      </c>
      <c r="W49" s="67">
        <v>1000</v>
      </c>
      <c r="X49" s="54">
        <f t="shared" si="28"/>
        <v>1000</v>
      </c>
      <c r="Y49" s="54">
        <f t="shared" si="29"/>
        <v>1000</v>
      </c>
      <c r="Z49" s="54">
        <f t="shared" si="30"/>
        <v>1000</v>
      </c>
      <c r="AA49" s="54">
        <f t="shared" si="31"/>
        <v>1000</v>
      </c>
      <c r="AB49" s="35"/>
    </row>
    <row r="50" spans="1:28" ht="17.25" customHeight="1" thickBot="1" x14ac:dyDescent="0.3">
      <c r="A50" s="15" t="s">
        <v>43</v>
      </c>
      <c r="B50" s="8" t="s">
        <v>28</v>
      </c>
      <c r="C50" s="43" t="s">
        <v>40</v>
      </c>
      <c r="D50" s="51">
        <v>0</v>
      </c>
      <c r="E50" s="47">
        <v>0</v>
      </c>
      <c r="F50" s="51">
        <v>0</v>
      </c>
      <c r="G50" s="47">
        <v>0</v>
      </c>
      <c r="H50" s="51">
        <v>1</v>
      </c>
      <c r="I50" s="47">
        <v>24</v>
      </c>
      <c r="J50" s="51">
        <v>1</v>
      </c>
      <c r="K50" s="48">
        <v>24</v>
      </c>
      <c r="L50" s="52">
        <f t="shared" si="27"/>
        <v>0</v>
      </c>
      <c r="M50" s="50">
        <f t="shared" si="32"/>
        <v>0</v>
      </c>
      <c r="N50" s="50">
        <f t="shared" si="33"/>
        <v>1</v>
      </c>
      <c r="O50" s="50">
        <f t="shared" si="34"/>
        <v>1</v>
      </c>
      <c r="P50" s="50">
        <f t="shared" si="35"/>
        <v>0</v>
      </c>
      <c r="Q50" s="50">
        <f t="shared" si="36"/>
        <v>0</v>
      </c>
      <c r="R50" s="50">
        <f t="shared" si="37"/>
        <v>1</v>
      </c>
      <c r="S50" s="50">
        <f t="shared" si="38"/>
        <v>1</v>
      </c>
      <c r="T50" s="50">
        <v>1</v>
      </c>
      <c r="U50" s="305"/>
      <c r="V50" s="73">
        <v>2</v>
      </c>
      <c r="W50" s="67">
        <v>6500</v>
      </c>
      <c r="X50" s="54">
        <f t="shared" si="28"/>
        <v>0</v>
      </c>
      <c r="Y50" s="54">
        <f t="shared" si="29"/>
        <v>0</v>
      </c>
      <c r="Z50" s="54">
        <f>N50*W50/2</f>
        <v>3250</v>
      </c>
      <c r="AA50" s="54">
        <f>O50*W50/2</f>
        <v>3250</v>
      </c>
      <c r="AB50" s="35"/>
    </row>
    <row r="51" spans="1:28" ht="22.5" customHeight="1" thickBot="1" x14ac:dyDescent="0.3">
      <c r="A51" s="15" t="s">
        <v>122</v>
      </c>
      <c r="B51" s="8" t="s">
        <v>28</v>
      </c>
      <c r="C51" s="43" t="s">
        <v>40</v>
      </c>
      <c r="D51" s="51">
        <v>1</v>
      </c>
      <c r="E51" s="47">
        <v>24</v>
      </c>
      <c r="F51" s="51">
        <v>1</v>
      </c>
      <c r="G51" s="47">
        <v>24</v>
      </c>
      <c r="H51" s="51">
        <v>1</v>
      </c>
      <c r="I51" s="47">
        <v>24</v>
      </c>
      <c r="J51" s="51">
        <v>1</v>
      </c>
      <c r="K51" s="48">
        <v>24</v>
      </c>
      <c r="L51" s="52">
        <f t="shared" si="27"/>
        <v>1</v>
      </c>
      <c r="M51" s="50"/>
      <c r="N51" s="50"/>
      <c r="O51" s="50">
        <f t="shared" si="34"/>
        <v>1</v>
      </c>
      <c r="P51" s="50">
        <f t="shared" si="35"/>
        <v>1</v>
      </c>
      <c r="Q51" s="50">
        <f t="shared" si="36"/>
        <v>1</v>
      </c>
      <c r="R51" s="50">
        <f t="shared" si="37"/>
        <v>1</v>
      </c>
      <c r="S51" s="50">
        <f t="shared" si="38"/>
        <v>1</v>
      </c>
      <c r="T51" s="50">
        <v>1</v>
      </c>
      <c r="U51" s="305"/>
      <c r="V51" s="73">
        <v>2</v>
      </c>
      <c r="W51" s="67">
        <v>3990</v>
      </c>
      <c r="X51" s="54">
        <f>L51*W51/2</f>
        <v>1995</v>
      </c>
      <c r="Y51" s="54">
        <f t="shared" si="29"/>
        <v>0</v>
      </c>
      <c r="Z51" s="54">
        <f t="shared" si="30"/>
        <v>0</v>
      </c>
      <c r="AA51" s="54">
        <f>O51*W51/2</f>
        <v>1995</v>
      </c>
      <c r="AB51" s="35"/>
    </row>
    <row r="52" spans="1:28" ht="18" customHeight="1" thickBot="1" x14ac:dyDescent="0.3">
      <c r="A52" s="15" t="s">
        <v>123</v>
      </c>
      <c r="B52" s="8" t="s">
        <v>28</v>
      </c>
      <c r="C52" s="43" t="s">
        <v>40</v>
      </c>
      <c r="D52" s="51">
        <v>2</v>
      </c>
      <c r="E52" s="51">
        <v>12</v>
      </c>
      <c r="F52" s="51">
        <v>2</v>
      </c>
      <c r="G52" s="51">
        <v>12</v>
      </c>
      <c r="H52" s="51">
        <v>3</v>
      </c>
      <c r="I52" s="47">
        <v>12</v>
      </c>
      <c r="J52" s="51">
        <v>3</v>
      </c>
      <c r="K52" s="48">
        <v>12</v>
      </c>
      <c r="L52" s="52">
        <f t="shared" si="27"/>
        <v>0</v>
      </c>
      <c r="M52" s="50"/>
      <c r="N52" s="50">
        <f t="shared" si="33"/>
        <v>3</v>
      </c>
      <c r="O52" s="50">
        <f t="shared" si="34"/>
        <v>3</v>
      </c>
      <c r="P52" s="50">
        <v>0</v>
      </c>
      <c r="Q52" s="50">
        <v>0</v>
      </c>
      <c r="R52" s="50">
        <f t="shared" si="37"/>
        <v>3</v>
      </c>
      <c r="S52" s="50">
        <f t="shared" si="38"/>
        <v>3</v>
      </c>
      <c r="T52" s="50">
        <v>1</v>
      </c>
      <c r="U52" s="305"/>
      <c r="V52" s="73">
        <v>1</v>
      </c>
      <c r="W52" s="67">
        <v>1500</v>
      </c>
      <c r="X52" s="54">
        <f t="shared" si="28"/>
        <v>0</v>
      </c>
      <c r="Y52" s="54">
        <f t="shared" si="29"/>
        <v>0</v>
      </c>
      <c r="Z52" s="54">
        <f t="shared" si="30"/>
        <v>4500</v>
      </c>
      <c r="AA52" s="54">
        <f t="shared" si="31"/>
        <v>4500</v>
      </c>
      <c r="AB52" s="35"/>
    </row>
    <row r="53" spans="1:28" ht="18" customHeight="1" thickBot="1" x14ac:dyDescent="0.3">
      <c r="A53" s="15" t="s">
        <v>45</v>
      </c>
      <c r="B53" s="8" t="s">
        <v>42</v>
      </c>
      <c r="C53" s="43" t="s">
        <v>40</v>
      </c>
      <c r="D53" s="51">
        <v>2</v>
      </c>
      <c r="E53" s="47">
        <v>12</v>
      </c>
      <c r="F53" s="51">
        <v>2</v>
      </c>
      <c r="G53" s="47">
        <v>12</v>
      </c>
      <c r="H53" s="51">
        <v>4</v>
      </c>
      <c r="I53" s="47">
        <v>12</v>
      </c>
      <c r="J53" s="51">
        <v>6</v>
      </c>
      <c r="K53" s="48">
        <v>12</v>
      </c>
      <c r="L53" s="52">
        <f t="shared" si="27"/>
        <v>2</v>
      </c>
      <c r="M53" s="50">
        <f t="shared" si="32"/>
        <v>2</v>
      </c>
      <c r="N53" s="50">
        <f t="shared" si="33"/>
        <v>4</v>
      </c>
      <c r="O53" s="50">
        <f t="shared" si="34"/>
        <v>6</v>
      </c>
      <c r="P53" s="50">
        <f t="shared" si="35"/>
        <v>2</v>
      </c>
      <c r="Q53" s="50">
        <f t="shared" si="36"/>
        <v>2</v>
      </c>
      <c r="R53" s="50">
        <f t="shared" si="37"/>
        <v>4</v>
      </c>
      <c r="S53" s="50">
        <f t="shared" si="38"/>
        <v>6</v>
      </c>
      <c r="T53" s="50">
        <v>1</v>
      </c>
      <c r="U53" s="305"/>
      <c r="V53" s="73">
        <v>1</v>
      </c>
      <c r="W53" s="67">
        <v>150</v>
      </c>
      <c r="X53" s="54">
        <f t="shared" si="28"/>
        <v>300</v>
      </c>
      <c r="Y53" s="54">
        <f t="shared" si="29"/>
        <v>300</v>
      </c>
      <c r="Z53" s="54">
        <f t="shared" si="30"/>
        <v>600</v>
      </c>
      <c r="AA53" s="54">
        <f t="shared" si="31"/>
        <v>900</v>
      </c>
      <c r="AB53" s="35"/>
    </row>
    <row r="54" spans="1:28" ht="18" customHeight="1" thickBot="1" x14ac:dyDescent="0.3">
      <c r="A54" s="15" t="s">
        <v>124</v>
      </c>
      <c r="B54" s="8" t="s">
        <v>42</v>
      </c>
      <c r="C54" s="43" t="s">
        <v>40</v>
      </c>
      <c r="D54" s="51">
        <v>1</v>
      </c>
      <c r="E54" s="47">
        <v>12</v>
      </c>
      <c r="F54" s="51">
        <v>1</v>
      </c>
      <c r="G54" s="47">
        <v>12</v>
      </c>
      <c r="H54" s="51">
        <v>2</v>
      </c>
      <c r="I54" s="47">
        <v>12</v>
      </c>
      <c r="J54" s="51">
        <v>2</v>
      </c>
      <c r="K54" s="48">
        <v>12</v>
      </c>
      <c r="L54" s="52">
        <f t="shared" si="27"/>
        <v>1</v>
      </c>
      <c r="M54" s="50">
        <f t="shared" si="32"/>
        <v>1</v>
      </c>
      <c r="N54" s="50">
        <f t="shared" si="33"/>
        <v>2</v>
      </c>
      <c r="O54" s="50">
        <f t="shared" si="34"/>
        <v>2</v>
      </c>
      <c r="P54" s="50">
        <f t="shared" si="35"/>
        <v>1</v>
      </c>
      <c r="Q54" s="50">
        <f t="shared" si="36"/>
        <v>1</v>
      </c>
      <c r="R54" s="50">
        <f t="shared" si="37"/>
        <v>2</v>
      </c>
      <c r="S54" s="50">
        <f t="shared" si="38"/>
        <v>2</v>
      </c>
      <c r="T54" s="50">
        <v>1</v>
      </c>
      <c r="U54" s="305"/>
      <c r="V54" s="73">
        <v>1</v>
      </c>
      <c r="W54" s="67">
        <v>550</v>
      </c>
      <c r="X54" s="54">
        <f t="shared" ref="X54:X62" si="39">L54*W54/1</f>
        <v>550</v>
      </c>
      <c r="Y54" s="54">
        <f t="shared" ref="Y54:Y62" si="40">M54*W54/1</f>
        <v>550</v>
      </c>
      <c r="Z54" s="54">
        <f t="shared" ref="Z54:Z62" si="41">N54*W54/1</f>
        <v>1100</v>
      </c>
      <c r="AA54" s="54">
        <f t="shared" ref="AA54:AA62" si="42">O54*W54/1</f>
        <v>1100</v>
      </c>
      <c r="AB54" s="35"/>
    </row>
    <row r="55" spans="1:28" ht="28.5" customHeight="1" thickBot="1" x14ac:dyDescent="0.3">
      <c r="A55" s="15" t="s">
        <v>47</v>
      </c>
      <c r="B55" s="8" t="s">
        <v>28</v>
      </c>
      <c r="C55" s="43" t="s">
        <v>40</v>
      </c>
      <c r="D55" s="51">
        <v>1</v>
      </c>
      <c r="E55" s="47">
        <v>12</v>
      </c>
      <c r="F55" s="51">
        <v>1</v>
      </c>
      <c r="G55" s="47">
        <v>12</v>
      </c>
      <c r="H55" s="51">
        <v>2</v>
      </c>
      <c r="I55" s="47">
        <v>12</v>
      </c>
      <c r="J55" s="51">
        <v>2</v>
      </c>
      <c r="K55" s="48">
        <v>12</v>
      </c>
      <c r="L55" s="52">
        <f t="shared" si="27"/>
        <v>1</v>
      </c>
      <c r="M55" s="50">
        <f t="shared" si="32"/>
        <v>1</v>
      </c>
      <c r="N55" s="50">
        <f t="shared" si="33"/>
        <v>2</v>
      </c>
      <c r="O55" s="50">
        <f t="shared" si="34"/>
        <v>2</v>
      </c>
      <c r="P55" s="50">
        <f t="shared" si="35"/>
        <v>1</v>
      </c>
      <c r="Q55" s="50">
        <f t="shared" si="36"/>
        <v>1</v>
      </c>
      <c r="R55" s="50">
        <f t="shared" si="37"/>
        <v>2</v>
      </c>
      <c r="S55" s="50">
        <f t="shared" si="38"/>
        <v>2</v>
      </c>
      <c r="T55" s="50">
        <v>1</v>
      </c>
      <c r="U55" s="305"/>
      <c r="V55" s="73">
        <v>1</v>
      </c>
      <c r="W55" s="67">
        <v>900</v>
      </c>
      <c r="X55" s="54">
        <f t="shared" si="39"/>
        <v>900</v>
      </c>
      <c r="Y55" s="54">
        <f t="shared" si="40"/>
        <v>900</v>
      </c>
      <c r="Z55" s="54">
        <f t="shared" si="41"/>
        <v>1800</v>
      </c>
      <c r="AA55" s="54">
        <f t="shared" si="42"/>
        <v>1800</v>
      </c>
      <c r="AB55" s="35"/>
    </row>
    <row r="56" spans="1:28" ht="25.5" customHeight="1" thickBot="1" x14ac:dyDescent="0.3">
      <c r="A56" s="15" t="s">
        <v>44</v>
      </c>
      <c r="B56" s="8" t="s">
        <v>28</v>
      </c>
      <c r="C56" s="43" t="s">
        <v>40</v>
      </c>
      <c r="D56" s="51">
        <v>1</v>
      </c>
      <c r="E56" s="47">
        <v>24</v>
      </c>
      <c r="F56" s="51">
        <v>1</v>
      </c>
      <c r="G56" s="47">
        <v>24</v>
      </c>
      <c r="H56" s="51">
        <v>1</v>
      </c>
      <c r="I56" s="47">
        <v>12</v>
      </c>
      <c r="J56" s="51">
        <v>1</v>
      </c>
      <c r="K56" s="48">
        <v>12</v>
      </c>
      <c r="L56" s="52">
        <f t="shared" si="27"/>
        <v>1</v>
      </c>
      <c r="M56" s="50">
        <f>Q56/T56</f>
        <v>1</v>
      </c>
      <c r="N56" s="50">
        <f t="shared" si="33"/>
        <v>1</v>
      </c>
      <c r="O56" s="50">
        <f t="shared" si="34"/>
        <v>1</v>
      </c>
      <c r="P56" s="50">
        <f t="shared" si="35"/>
        <v>1</v>
      </c>
      <c r="Q56" s="50">
        <f t="shared" si="36"/>
        <v>1</v>
      </c>
      <c r="R56" s="50">
        <f t="shared" si="37"/>
        <v>1</v>
      </c>
      <c r="S56" s="50">
        <f t="shared" si="38"/>
        <v>1</v>
      </c>
      <c r="T56" s="50">
        <v>1</v>
      </c>
      <c r="U56" s="305"/>
      <c r="V56" s="73">
        <v>2</v>
      </c>
      <c r="W56" s="67">
        <v>12000</v>
      </c>
      <c r="X56" s="54">
        <f>L56*W56/2</f>
        <v>6000</v>
      </c>
      <c r="Y56" s="54">
        <f>M56*W56/2</f>
        <v>6000</v>
      </c>
      <c r="Z56" s="54">
        <f>N56*W56/2</f>
        <v>6000</v>
      </c>
      <c r="AA56" s="54">
        <f>O56*W56/2</f>
        <v>6000</v>
      </c>
      <c r="AB56" s="35"/>
    </row>
    <row r="57" spans="1:28" ht="17.25" customHeight="1" thickBot="1" x14ac:dyDescent="0.3">
      <c r="A57" s="15" t="s">
        <v>125</v>
      </c>
      <c r="B57" s="8" t="s">
        <v>28</v>
      </c>
      <c r="C57" s="43" t="s">
        <v>40</v>
      </c>
      <c r="D57" s="51">
        <v>1</v>
      </c>
      <c r="E57" s="47">
        <v>12</v>
      </c>
      <c r="F57" s="51">
        <v>2</v>
      </c>
      <c r="G57" s="47">
        <v>12</v>
      </c>
      <c r="H57" s="51">
        <v>3</v>
      </c>
      <c r="I57" s="47">
        <v>12</v>
      </c>
      <c r="J57" s="51">
        <v>4</v>
      </c>
      <c r="K57" s="48">
        <v>12</v>
      </c>
      <c r="L57" s="52">
        <f t="shared" si="27"/>
        <v>1</v>
      </c>
      <c r="M57" s="50">
        <f t="shared" ref="M57" si="43">Q57/T57</f>
        <v>2</v>
      </c>
      <c r="N57" s="50">
        <f t="shared" si="33"/>
        <v>3</v>
      </c>
      <c r="O57" s="50">
        <f t="shared" si="34"/>
        <v>4</v>
      </c>
      <c r="P57" s="50">
        <f t="shared" si="35"/>
        <v>1</v>
      </c>
      <c r="Q57" s="50">
        <f t="shared" si="36"/>
        <v>2</v>
      </c>
      <c r="R57" s="50">
        <f t="shared" si="37"/>
        <v>3</v>
      </c>
      <c r="S57" s="50">
        <f t="shared" si="38"/>
        <v>4</v>
      </c>
      <c r="T57" s="50">
        <v>1</v>
      </c>
      <c r="U57" s="305"/>
      <c r="V57" s="73">
        <v>1</v>
      </c>
      <c r="W57" s="67">
        <v>15000</v>
      </c>
      <c r="X57" s="54">
        <f t="shared" si="39"/>
        <v>15000</v>
      </c>
      <c r="Y57" s="54">
        <f t="shared" si="40"/>
        <v>30000</v>
      </c>
      <c r="Z57" s="54">
        <f t="shared" si="41"/>
        <v>45000</v>
      </c>
      <c r="AA57" s="54">
        <f t="shared" si="42"/>
        <v>60000</v>
      </c>
      <c r="AB57" s="35"/>
    </row>
    <row r="58" spans="1:28" ht="22.5" customHeight="1" thickBot="1" x14ac:dyDescent="0.3">
      <c r="A58" s="15" t="s">
        <v>90</v>
      </c>
      <c r="B58" s="8" t="s">
        <v>42</v>
      </c>
      <c r="C58" s="43" t="s">
        <v>40</v>
      </c>
      <c r="D58" s="51">
        <v>1</v>
      </c>
      <c r="E58" s="47">
        <v>24</v>
      </c>
      <c r="F58" s="51">
        <v>1</v>
      </c>
      <c r="G58" s="47">
        <v>24</v>
      </c>
      <c r="H58" s="51">
        <v>2</v>
      </c>
      <c r="I58" s="47">
        <v>12</v>
      </c>
      <c r="J58" s="51">
        <v>3</v>
      </c>
      <c r="K58" s="48">
        <v>12</v>
      </c>
      <c r="L58" s="52">
        <f t="shared" si="27"/>
        <v>1</v>
      </c>
      <c r="M58" s="50"/>
      <c r="N58" s="50"/>
      <c r="O58" s="50">
        <f t="shared" si="34"/>
        <v>3</v>
      </c>
      <c r="P58" s="50">
        <f t="shared" si="35"/>
        <v>1</v>
      </c>
      <c r="Q58" s="50">
        <f t="shared" si="36"/>
        <v>1</v>
      </c>
      <c r="R58" s="50">
        <f t="shared" si="37"/>
        <v>2</v>
      </c>
      <c r="S58" s="50">
        <f t="shared" si="38"/>
        <v>3</v>
      </c>
      <c r="T58" s="50">
        <v>1</v>
      </c>
      <c r="U58" s="305"/>
      <c r="V58" s="73">
        <v>2</v>
      </c>
      <c r="W58" s="69">
        <v>2600</v>
      </c>
      <c r="X58" s="54">
        <f>L58*W58/2</f>
        <v>1300</v>
      </c>
      <c r="Y58" s="54">
        <f t="shared" si="40"/>
        <v>0</v>
      </c>
      <c r="Z58" s="54">
        <f t="shared" si="41"/>
        <v>0</v>
      </c>
      <c r="AA58" s="54">
        <f>O58*W58/2</f>
        <v>3900</v>
      </c>
      <c r="AB58" s="35"/>
    </row>
    <row r="59" spans="1:28" ht="35.25" customHeight="1" thickBot="1" x14ac:dyDescent="0.3">
      <c r="A59" s="15" t="s">
        <v>92</v>
      </c>
      <c r="B59" s="8" t="s">
        <v>28</v>
      </c>
      <c r="C59" s="43" t="s">
        <v>40</v>
      </c>
      <c r="D59" s="51">
        <v>2</v>
      </c>
      <c r="E59" s="51">
        <v>12</v>
      </c>
      <c r="F59" s="51">
        <v>2</v>
      </c>
      <c r="G59" s="51">
        <v>12</v>
      </c>
      <c r="H59" s="51">
        <v>4</v>
      </c>
      <c r="I59" s="47">
        <v>12</v>
      </c>
      <c r="J59" s="51">
        <v>4</v>
      </c>
      <c r="K59" s="48">
        <v>12</v>
      </c>
      <c r="L59" s="52">
        <f t="shared" si="27"/>
        <v>0</v>
      </c>
      <c r="M59" s="50"/>
      <c r="N59" s="50">
        <f t="shared" ref="N59:N62" si="44">R59/T59</f>
        <v>4</v>
      </c>
      <c r="O59" s="50">
        <f t="shared" si="34"/>
        <v>4</v>
      </c>
      <c r="P59" s="50">
        <v>0</v>
      </c>
      <c r="Q59" s="50">
        <v>0</v>
      </c>
      <c r="R59" s="50">
        <f t="shared" si="37"/>
        <v>4</v>
      </c>
      <c r="S59" s="50">
        <f t="shared" si="38"/>
        <v>4</v>
      </c>
      <c r="T59" s="50">
        <v>1</v>
      </c>
      <c r="U59" s="305"/>
      <c r="V59" s="73">
        <v>1</v>
      </c>
      <c r="W59" s="69">
        <v>3000</v>
      </c>
      <c r="X59" s="54">
        <f t="shared" si="39"/>
        <v>0</v>
      </c>
      <c r="Y59" s="54">
        <f t="shared" si="40"/>
        <v>0</v>
      </c>
      <c r="Z59" s="54">
        <f t="shared" si="41"/>
        <v>12000</v>
      </c>
      <c r="AA59" s="54">
        <f t="shared" si="42"/>
        <v>12000</v>
      </c>
      <c r="AB59" s="35"/>
    </row>
    <row r="60" spans="1:28" ht="33" customHeight="1" thickBot="1" x14ac:dyDescent="0.3">
      <c r="A60" s="15" t="s">
        <v>126</v>
      </c>
      <c r="B60" s="8" t="s">
        <v>28</v>
      </c>
      <c r="C60" s="43" t="s">
        <v>40</v>
      </c>
      <c r="D60" s="51">
        <v>1</v>
      </c>
      <c r="E60" s="47">
        <v>12</v>
      </c>
      <c r="F60" s="51">
        <v>1</v>
      </c>
      <c r="G60" s="47">
        <v>12</v>
      </c>
      <c r="H60" s="51">
        <v>2</v>
      </c>
      <c r="I60" s="47">
        <v>12</v>
      </c>
      <c r="J60" s="51">
        <v>3</v>
      </c>
      <c r="K60" s="48">
        <v>12</v>
      </c>
      <c r="L60" s="52">
        <f t="shared" si="27"/>
        <v>1</v>
      </c>
      <c r="M60" s="50">
        <f t="shared" ref="M60:M62" si="45">Q60/T60</f>
        <v>1</v>
      </c>
      <c r="N60" s="50">
        <f t="shared" si="44"/>
        <v>2</v>
      </c>
      <c r="O60" s="50">
        <f t="shared" si="34"/>
        <v>3</v>
      </c>
      <c r="P60" s="50">
        <f t="shared" ref="P60:P62" si="46">D60</f>
        <v>1</v>
      </c>
      <c r="Q60" s="50">
        <f t="shared" ref="Q60:Q62" si="47">F60</f>
        <v>1</v>
      </c>
      <c r="R60" s="50">
        <f t="shared" si="37"/>
        <v>2</v>
      </c>
      <c r="S60" s="50">
        <f t="shared" si="38"/>
        <v>3</v>
      </c>
      <c r="T60" s="50">
        <v>1</v>
      </c>
      <c r="U60" s="305"/>
      <c r="V60" s="73">
        <v>1</v>
      </c>
      <c r="W60" s="69">
        <v>2500</v>
      </c>
      <c r="X60" s="54">
        <f t="shared" si="39"/>
        <v>2500</v>
      </c>
      <c r="Y60" s="54">
        <f t="shared" si="40"/>
        <v>2500</v>
      </c>
      <c r="Z60" s="54">
        <f t="shared" si="41"/>
        <v>5000</v>
      </c>
      <c r="AA60" s="54">
        <f t="shared" si="42"/>
        <v>7500</v>
      </c>
      <c r="AB60" s="35"/>
    </row>
    <row r="61" spans="1:28" ht="18" customHeight="1" thickBot="1" x14ac:dyDescent="0.3">
      <c r="A61" s="15" t="s">
        <v>94</v>
      </c>
      <c r="B61" s="8" t="s">
        <v>28</v>
      </c>
      <c r="C61" s="43" t="s">
        <v>40</v>
      </c>
      <c r="D61" s="51">
        <v>2</v>
      </c>
      <c r="E61" s="47">
        <v>12</v>
      </c>
      <c r="F61" s="51">
        <v>2</v>
      </c>
      <c r="G61" s="47">
        <v>12</v>
      </c>
      <c r="H61" s="51">
        <v>4</v>
      </c>
      <c r="I61" s="47">
        <v>12</v>
      </c>
      <c r="J61" s="51">
        <v>6</v>
      </c>
      <c r="K61" s="48">
        <v>12</v>
      </c>
      <c r="L61" s="52">
        <f t="shared" si="27"/>
        <v>2</v>
      </c>
      <c r="M61" s="50">
        <f t="shared" si="45"/>
        <v>2</v>
      </c>
      <c r="N61" s="50">
        <f t="shared" si="44"/>
        <v>4</v>
      </c>
      <c r="O61" s="50">
        <f t="shared" si="34"/>
        <v>6</v>
      </c>
      <c r="P61" s="50">
        <f t="shared" si="46"/>
        <v>2</v>
      </c>
      <c r="Q61" s="50">
        <f t="shared" si="47"/>
        <v>2</v>
      </c>
      <c r="R61" s="50">
        <f t="shared" si="37"/>
        <v>4</v>
      </c>
      <c r="S61" s="50">
        <f t="shared" si="38"/>
        <v>6</v>
      </c>
      <c r="T61" s="50">
        <v>1</v>
      </c>
      <c r="U61" s="305"/>
      <c r="V61" s="73">
        <v>1</v>
      </c>
      <c r="W61" s="69">
        <v>900</v>
      </c>
      <c r="X61" s="54">
        <f t="shared" si="39"/>
        <v>1800</v>
      </c>
      <c r="Y61" s="54">
        <f t="shared" si="40"/>
        <v>1800</v>
      </c>
      <c r="Z61" s="54">
        <f t="shared" si="41"/>
        <v>3600</v>
      </c>
      <c r="AA61" s="54">
        <f t="shared" si="42"/>
        <v>5400</v>
      </c>
      <c r="AB61" s="35"/>
    </row>
    <row r="62" spans="1:28" ht="28.5" customHeight="1" x14ac:dyDescent="0.25">
      <c r="A62" s="25" t="s">
        <v>95</v>
      </c>
      <c r="B62" s="13" t="s">
        <v>28</v>
      </c>
      <c r="C62" s="134" t="s">
        <v>40</v>
      </c>
      <c r="D62" s="135">
        <v>2</v>
      </c>
      <c r="E62" s="136">
        <v>12</v>
      </c>
      <c r="F62" s="135">
        <v>2</v>
      </c>
      <c r="G62" s="136">
        <v>12</v>
      </c>
      <c r="H62" s="135">
        <v>4</v>
      </c>
      <c r="I62" s="136">
        <v>12</v>
      </c>
      <c r="J62" s="135">
        <v>4</v>
      </c>
      <c r="K62" s="115">
        <v>12</v>
      </c>
      <c r="L62" s="137">
        <f t="shared" si="27"/>
        <v>2</v>
      </c>
      <c r="M62" s="138">
        <f t="shared" si="45"/>
        <v>2</v>
      </c>
      <c r="N62" s="138">
        <f t="shared" si="44"/>
        <v>4</v>
      </c>
      <c r="O62" s="138">
        <f t="shared" si="34"/>
        <v>4</v>
      </c>
      <c r="P62" s="138">
        <f t="shared" si="46"/>
        <v>2</v>
      </c>
      <c r="Q62" s="138">
        <f t="shared" si="47"/>
        <v>2</v>
      </c>
      <c r="R62" s="138">
        <f t="shared" si="37"/>
        <v>4</v>
      </c>
      <c r="S62" s="138">
        <f t="shared" si="38"/>
        <v>4</v>
      </c>
      <c r="T62" s="138">
        <v>1</v>
      </c>
      <c r="U62" s="306"/>
      <c r="V62" s="139">
        <v>1</v>
      </c>
      <c r="W62" s="124">
        <v>600</v>
      </c>
      <c r="X62" s="125">
        <f t="shared" si="39"/>
        <v>1200</v>
      </c>
      <c r="Y62" s="125">
        <f t="shared" si="40"/>
        <v>1200</v>
      </c>
      <c r="Z62" s="125">
        <f t="shared" si="41"/>
        <v>2400</v>
      </c>
      <c r="AA62" s="125">
        <f t="shared" si="42"/>
        <v>2400</v>
      </c>
      <c r="AB62" s="140"/>
    </row>
    <row r="63" spans="1:28" s="109" customFormat="1" ht="28.5" customHeight="1" x14ac:dyDescent="0.25">
      <c r="A63" s="126"/>
      <c r="B63" s="127"/>
      <c r="C63" s="141"/>
      <c r="D63" s="142"/>
      <c r="E63" s="143"/>
      <c r="F63" s="142"/>
      <c r="G63" s="143"/>
      <c r="H63" s="142"/>
      <c r="I63" s="143"/>
      <c r="J63" s="142"/>
      <c r="K63" s="143"/>
      <c r="L63" s="144"/>
      <c r="M63" s="145"/>
      <c r="N63" s="145"/>
      <c r="O63" s="145"/>
      <c r="P63" s="145"/>
      <c r="Q63" s="145"/>
      <c r="R63" s="145"/>
      <c r="S63" s="145"/>
      <c r="T63" s="145"/>
      <c r="U63" s="146"/>
      <c r="V63" s="131"/>
      <c r="W63" s="132" t="s">
        <v>148</v>
      </c>
      <c r="X63" s="132">
        <f>SUM(X45:X62)</f>
        <v>32845</v>
      </c>
      <c r="Y63" s="132">
        <f t="shared" ref="Y63:AA63" si="48">SUM(Y45:Y62)</f>
        <v>49750</v>
      </c>
      <c r="Z63" s="132">
        <f t="shared" si="48"/>
        <v>108250</v>
      </c>
      <c r="AA63" s="132">
        <f t="shared" si="48"/>
        <v>135245</v>
      </c>
      <c r="AB63" s="131"/>
    </row>
  </sheetData>
  <mergeCells count="8">
    <mergeCell ref="U45:U62"/>
    <mergeCell ref="A42:AB42"/>
    <mergeCell ref="M17:M34"/>
    <mergeCell ref="M37:M40"/>
    <mergeCell ref="A8:T8"/>
    <mergeCell ref="A16:T16"/>
    <mergeCell ref="A36:T36"/>
    <mergeCell ref="M9:M1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инвентарь</vt:lpstr>
      <vt:lpstr>итоговая плавание</vt:lpstr>
      <vt:lpstr>общехозяйственные плав</vt:lpstr>
      <vt:lpstr>Коммун услуги плав</vt:lpstr>
      <vt:lpstr>Трен. мер. и мед. обслуж плав</vt:lpstr>
      <vt:lpstr>Нормы МатЗапасов плавание </vt:lpstr>
      <vt:lpstr>БазНорм на ОТ плавание</vt:lpstr>
      <vt:lpstr>БазНорм на ОТ худ. гимнастика</vt:lpstr>
      <vt:lpstr>Нормы МатЗапасов худ. гимна</vt:lpstr>
      <vt:lpstr>Трен. мер. и мед. обслуж худ ги</vt:lpstr>
      <vt:lpstr>Коммун услуги худ.гим</vt:lpstr>
      <vt:lpstr>общехозяйственные худ. гим.</vt:lpstr>
      <vt:lpstr>итоговая худ. гим.</vt:lpstr>
      <vt:lpstr>пп</vt:lpstr>
      <vt:lpstr>пп (3)</vt:lpstr>
      <vt:lpstr>пп общех</vt:lpstr>
      <vt:lpstr>инвентарь!Область_печати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Admin</cp:lastModifiedBy>
  <cp:lastPrinted>2017-08-10T09:13:28Z</cp:lastPrinted>
  <dcterms:created xsi:type="dcterms:W3CDTF">2016-08-24T06:41:32Z</dcterms:created>
  <dcterms:modified xsi:type="dcterms:W3CDTF">2018-05-29T09:04:16Z</dcterms:modified>
</cp:coreProperties>
</file>